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AC0FB960-6F3C-4903-9FA8-5BF10273143B}"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6" i="5" l="1"/>
  <c r="T44" i="5"/>
  <c r="T104" i="5"/>
  <c r="T145" i="5"/>
  <c r="T192"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R13" i="5" s="1"/>
  <c r="X13" i="5"/>
  <c r="V14" i="5"/>
  <c r="X14" i="5"/>
  <c r="V15" i="5"/>
  <c r="X15" i="5"/>
  <c r="V16" i="5"/>
  <c r="X16" i="5"/>
  <c r="V17" i="5"/>
  <c r="X17" i="5"/>
  <c r="V18" i="5"/>
  <c r="X18" i="5"/>
  <c r="V19" i="5"/>
  <c r="R19" i="5" s="1"/>
  <c r="V20" i="5"/>
  <c r="X20" i="5"/>
  <c r="V21" i="5"/>
  <c r="X21" i="5"/>
  <c r="V22" i="5"/>
  <c r="X22" i="5"/>
  <c r="V23" i="5"/>
  <c r="X23" i="5"/>
  <c r="V24" i="5"/>
  <c r="X24" i="5"/>
  <c r="V25" i="5"/>
  <c r="R25" i="5" s="1"/>
  <c r="X25" i="5"/>
  <c r="V26" i="5"/>
  <c r="R26" i="5" s="1"/>
  <c r="X26" i="5"/>
  <c r="V27" i="5"/>
  <c r="R27" i="5" s="1"/>
  <c r="V28" i="5"/>
  <c r="X28" i="5"/>
  <c r="V29" i="5"/>
  <c r="X29" i="5"/>
  <c r="V30" i="5"/>
  <c r="X30" i="5"/>
  <c r="V31" i="5"/>
  <c r="X31" i="5"/>
  <c r="V32" i="5"/>
  <c r="X32" i="5"/>
  <c r="V33" i="5"/>
  <c r="X33" i="5"/>
  <c r="V34" i="5"/>
  <c r="X34" i="5"/>
  <c r="V35" i="5"/>
  <c r="X35" i="5"/>
  <c r="V36" i="5"/>
  <c r="V37" i="5"/>
  <c r="X37" i="5"/>
  <c r="V38" i="5"/>
  <c r="X38" i="5"/>
  <c r="V39" i="5"/>
  <c r="X39" i="5"/>
  <c r="V40" i="5"/>
  <c r="X40" i="5"/>
  <c r="V41" i="5"/>
  <c r="R41" i="5" s="1"/>
  <c r="X41" i="5"/>
  <c r="V42" i="5"/>
  <c r="X42" i="5"/>
  <c r="V43" i="5"/>
  <c r="V44" i="5"/>
  <c r="X44" i="5"/>
  <c r="V45" i="5"/>
  <c r="R45" i="5" s="1"/>
  <c r="X45" i="5"/>
  <c r="V46" i="5"/>
  <c r="X46" i="5"/>
  <c r="V47" i="5"/>
  <c r="X47" i="5"/>
  <c r="V48" i="5"/>
  <c r="R48" i="5" s="1"/>
  <c r="X48" i="5"/>
  <c r="V49" i="5"/>
  <c r="V50" i="5"/>
  <c r="X50" i="5"/>
  <c r="V51" i="5"/>
  <c r="X51" i="5"/>
  <c r="V52" i="5"/>
  <c r="R52" i="5" s="1"/>
  <c r="X52" i="5"/>
  <c r="V53" i="5"/>
  <c r="X53" i="5"/>
  <c r="V54" i="5"/>
  <c r="X54" i="5"/>
  <c r="V55" i="5"/>
  <c r="X55" i="5"/>
  <c r="V56" i="5"/>
  <c r="X56" i="5"/>
  <c r="V57" i="5"/>
  <c r="R57" i="5" s="1"/>
  <c r="X57" i="5"/>
  <c r="V58" i="5"/>
  <c r="R58" i="5" s="1"/>
  <c r="X58" i="5"/>
  <c r="V59" i="5"/>
  <c r="R59" i="5" s="1"/>
  <c r="X59" i="5"/>
  <c r="V60" i="5"/>
  <c r="V61" i="5"/>
  <c r="V62" i="5"/>
  <c r="V63" i="5"/>
  <c r="X63" i="5"/>
  <c r="V64" i="5"/>
  <c r="X64" i="5"/>
  <c r="V65" i="5"/>
  <c r="R65" i="5" s="1"/>
  <c r="X65" i="5"/>
  <c r="V66" i="5"/>
  <c r="X66" i="5"/>
  <c r="V67" i="5"/>
  <c r="X67" i="5"/>
  <c r="V68" i="5"/>
  <c r="V69" i="5"/>
  <c r="X69" i="5"/>
  <c r="V70" i="5"/>
  <c r="X70" i="5"/>
  <c r="V71" i="5"/>
  <c r="X71" i="5"/>
  <c r="V72" i="5"/>
  <c r="V73" i="5"/>
  <c r="R73" i="5" s="1"/>
  <c r="X73" i="5"/>
  <c r="V74" i="5"/>
  <c r="R74" i="5" s="1"/>
  <c r="X74" i="5"/>
  <c r="V75" i="5"/>
  <c r="X75" i="5"/>
  <c r="V76" i="5"/>
  <c r="X76" i="5"/>
  <c r="V77" i="5"/>
  <c r="X77" i="5"/>
  <c r="V78" i="5"/>
  <c r="V79" i="5"/>
  <c r="X79" i="5"/>
  <c r="V80" i="5"/>
  <c r="V81" i="5"/>
  <c r="X81" i="5"/>
  <c r="V82" i="5"/>
  <c r="X82" i="5"/>
  <c r="V83" i="5"/>
  <c r="X83" i="5"/>
  <c r="V84" i="5"/>
  <c r="X84" i="5"/>
  <c r="V85" i="5"/>
  <c r="R85" i="5" s="1"/>
  <c r="X85" i="5"/>
  <c r="V86" i="5"/>
  <c r="R86" i="5" s="1"/>
  <c r="X86" i="5"/>
  <c r="V87" i="5"/>
  <c r="V88" i="5"/>
  <c r="X88" i="5"/>
  <c r="V89" i="5"/>
  <c r="X89" i="5"/>
  <c r="V90" i="5"/>
  <c r="X90" i="5"/>
  <c r="V91" i="5"/>
  <c r="X91" i="5"/>
  <c r="V92" i="5"/>
  <c r="V93" i="5"/>
  <c r="V94" i="5"/>
  <c r="X94" i="5"/>
  <c r="V95" i="5"/>
  <c r="X95" i="5"/>
  <c r="V96" i="5"/>
  <c r="X96" i="5"/>
  <c r="V97" i="5"/>
  <c r="X97" i="5"/>
  <c r="V98" i="5"/>
  <c r="X98" i="5"/>
  <c r="V99" i="5"/>
  <c r="X99" i="5"/>
  <c r="V100" i="5"/>
  <c r="X100" i="5"/>
  <c r="V101" i="5"/>
  <c r="R101" i="5" s="1"/>
  <c r="V102" i="5"/>
  <c r="R102" i="5" s="1"/>
  <c r="X102" i="5"/>
  <c r="V103" i="5"/>
  <c r="V104" i="5"/>
  <c r="X104" i="5"/>
  <c r="V105" i="5"/>
  <c r="R105" i="5" s="1"/>
  <c r="X105" i="5"/>
  <c r="V106" i="5"/>
  <c r="R106" i="5" s="1"/>
  <c r="X106" i="5"/>
  <c r="V107" i="5"/>
  <c r="X107" i="5"/>
  <c r="V108" i="5"/>
  <c r="V109" i="5"/>
  <c r="X109" i="5"/>
  <c r="V110" i="5"/>
  <c r="X110" i="5"/>
  <c r="V111" i="5"/>
  <c r="X111" i="5"/>
  <c r="V112" i="5"/>
  <c r="R112" i="5" s="1"/>
  <c r="X112" i="5"/>
  <c r="V113" i="5"/>
  <c r="X113" i="5"/>
  <c r="V114" i="5"/>
  <c r="X114" i="5"/>
  <c r="V115" i="5"/>
  <c r="V116" i="5"/>
  <c r="X116" i="5"/>
  <c r="V117" i="5"/>
  <c r="V118" i="5"/>
  <c r="V119" i="5"/>
  <c r="X119" i="5"/>
  <c r="V120" i="5"/>
  <c r="X120" i="5"/>
  <c r="V121" i="5"/>
  <c r="R121" i="5" s="1"/>
  <c r="V122" i="5"/>
  <c r="V123" i="5"/>
  <c r="X123" i="5"/>
  <c r="V124" i="5"/>
  <c r="X124" i="5"/>
  <c r="V125" i="5"/>
  <c r="X125" i="5"/>
  <c r="V126" i="5"/>
  <c r="X126" i="5"/>
  <c r="V127" i="5"/>
  <c r="X127" i="5"/>
  <c r="V128" i="5"/>
  <c r="X128" i="5"/>
  <c r="V129" i="5"/>
  <c r="X129" i="5"/>
  <c r="V130" i="5"/>
  <c r="X130" i="5"/>
  <c r="V131" i="5"/>
  <c r="X131" i="5"/>
  <c r="V132" i="5"/>
  <c r="X132" i="5"/>
  <c r="V133" i="5"/>
  <c r="V134" i="5"/>
  <c r="X134" i="5"/>
  <c r="V135" i="5"/>
  <c r="X135" i="5"/>
  <c r="V136" i="5"/>
  <c r="R136" i="5" s="1"/>
  <c r="X136" i="5"/>
  <c r="V137" i="5"/>
  <c r="X137" i="5"/>
  <c r="V138" i="5"/>
  <c r="X138" i="5"/>
  <c r="V139" i="5"/>
  <c r="R139" i="5" s="1"/>
  <c r="X139" i="5"/>
  <c r="V140" i="5"/>
  <c r="X140" i="5"/>
  <c r="V141" i="5"/>
  <c r="X141" i="5"/>
  <c r="V142" i="5"/>
  <c r="R142" i="5" s="1"/>
  <c r="X142" i="5"/>
  <c r="V143" i="5"/>
  <c r="X143" i="5"/>
  <c r="V144" i="5"/>
  <c r="X144" i="5"/>
  <c r="V145" i="5"/>
  <c r="X145" i="5"/>
  <c r="V146" i="5"/>
  <c r="R146" i="5" s="1"/>
  <c r="X146" i="5"/>
  <c r="V147" i="5"/>
  <c r="X147" i="5"/>
  <c r="V148" i="5"/>
  <c r="R148" i="5" s="1"/>
  <c r="X148" i="5"/>
  <c r="V149" i="5"/>
  <c r="X149" i="5"/>
  <c r="V150" i="5"/>
  <c r="X150" i="5"/>
  <c r="V151" i="5"/>
  <c r="R151" i="5" s="1"/>
  <c r="X151" i="5"/>
  <c r="V152" i="5"/>
  <c r="V153" i="5"/>
  <c r="V154" i="5"/>
  <c r="X154" i="5"/>
  <c r="V155" i="5"/>
  <c r="X155" i="5"/>
  <c r="V156" i="5"/>
  <c r="X156" i="5"/>
  <c r="V157" i="5"/>
  <c r="X157" i="5"/>
  <c r="V158" i="5"/>
  <c r="R158" i="5" s="1"/>
  <c r="X158" i="5"/>
  <c r="V159" i="5"/>
  <c r="R159" i="5" s="1"/>
  <c r="X159" i="5"/>
  <c r="V160" i="5"/>
  <c r="R160" i="5" s="1"/>
  <c r="X160" i="5"/>
  <c r="V161" i="5"/>
  <c r="R161" i="5" s="1"/>
  <c r="V162" i="5"/>
  <c r="X162" i="5"/>
  <c r="V163" i="5"/>
  <c r="X163" i="5"/>
  <c r="V164" i="5"/>
  <c r="X164" i="5"/>
  <c r="V165" i="5"/>
  <c r="X165" i="5"/>
  <c r="V166" i="5"/>
  <c r="X166" i="5"/>
  <c r="V167" i="5"/>
  <c r="X167" i="5"/>
  <c r="V168" i="5"/>
  <c r="X168" i="5"/>
  <c r="V169" i="5"/>
  <c r="V170" i="5"/>
  <c r="V171" i="5"/>
  <c r="X171" i="5"/>
  <c r="V172" i="5"/>
  <c r="R172" i="5" s="1"/>
  <c r="X172" i="5"/>
  <c r="V173" i="5"/>
  <c r="R173" i="5" s="1"/>
  <c r="X173" i="5"/>
  <c r="V174" i="5"/>
  <c r="X174" i="5"/>
  <c r="V175" i="5"/>
  <c r="V176" i="5"/>
  <c r="X176" i="5"/>
  <c r="V177" i="5"/>
  <c r="X177" i="5"/>
  <c r="V178" i="5"/>
  <c r="R178" i="5" s="1"/>
  <c r="X178" i="5"/>
  <c r="V179" i="5"/>
  <c r="R179" i="5" s="1"/>
  <c r="X179" i="5"/>
  <c r="V180" i="5"/>
  <c r="X180" i="5"/>
  <c r="V181" i="5"/>
  <c r="R181" i="5" s="1"/>
  <c r="V182" i="5"/>
  <c r="V183" i="5"/>
  <c r="X183" i="5"/>
  <c r="V184" i="5"/>
  <c r="X184" i="5"/>
  <c r="V185" i="5"/>
  <c r="X185" i="5"/>
  <c r="V186" i="5"/>
  <c r="R186" i="5" s="1"/>
  <c r="X186" i="5"/>
  <c r="V187" i="5"/>
  <c r="R187" i="5" s="1"/>
  <c r="X187" i="5"/>
  <c r="V188" i="5"/>
  <c r="X188" i="5"/>
  <c r="V189" i="5"/>
  <c r="V190" i="5"/>
  <c r="V191" i="5"/>
  <c r="V192" i="5"/>
  <c r="R192" i="5" s="1"/>
  <c r="X192" i="5"/>
  <c r="V193" i="5"/>
  <c r="R193" i="5" s="1"/>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c r="B60" i="6"/>
  <c r="G60" i="6"/>
  <c r="B59" i="6"/>
  <c r="G59" i="6" s="1"/>
  <c r="B58" i="6"/>
  <c r="G58" i="6"/>
  <c r="B57" i="6"/>
  <c r="G57" i="6" s="1"/>
  <c r="B56" i="6"/>
  <c r="G56" i="6"/>
  <c r="B55" i="6"/>
  <c r="G55" i="6"/>
  <c r="B54" i="6"/>
  <c r="G54" i="6" s="1"/>
  <c r="B17" i="6"/>
  <c r="B16" i="6"/>
  <c r="F21" i="6" s="1"/>
  <c r="B15" i="6"/>
  <c r="B14" i="6"/>
  <c r="G14" i="6"/>
  <c r="H14" i="6" s="1"/>
  <c r="H13" i="6"/>
  <c r="B12" i="6"/>
  <c r="G12" i="6"/>
  <c r="H12" i="6" s="1"/>
  <c r="D12" i="6" s="1"/>
  <c r="B11" i="6"/>
  <c r="G11" i="6" s="1"/>
  <c r="H11" i="6" s="1"/>
  <c r="D11" i="6" s="1"/>
  <c r="G10" i="6"/>
  <c r="H10" i="6" s="1"/>
  <c r="D10" i="6" s="1"/>
  <c r="G9" i="6"/>
  <c r="H9" i="6"/>
  <c r="D9" i="6" s="1"/>
  <c r="B8" i="6"/>
  <c r="G8" i="6" s="1"/>
  <c r="H8" i="6" s="1"/>
  <c r="D8" i="6" s="1"/>
  <c r="B7" i="6"/>
  <c r="G7" i="6" s="1"/>
  <c r="H7" i="6" s="1"/>
  <c r="D7" i="6" s="1"/>
  <c r="B6" i="6"/>
  <c r="G6" i="6" s="1"/>
  <c r="B5" i="6"/>
  <c r="F6" i="6" s="1"/>
  <c r="B4" i="6"/>
  <c r="G4" i="6"/>
  <c r="H4" i="6" s="1"/>
  <c r="D4" i="6" s="1"/>
  <c r="S2492" i="5"/>
  <c r="B90" i="4"/>
  <c r="H67" i="4"/>
  <c r="P47" i="4"/>
  <c r="P46" i="4"/>
  <c r="P45" i="4"/>
  <c r="B45" i="4" s="1"/>
  <c r="A30" i="6" s="1"/>
  <c r="P44" i="4"/>
  <c r="P43" i="4"/>
  <c r="Q43" i="4" s="1"/>
  <c r="P41" i="4"/>
  <c r="B41" i="4" s="1"/>
  <c r="P40" i="4"/>
  <c r="B40" i="4" s="1"/>
  <c r="P39" i="4"/>
  <c r="P38" i="4"/>
  <c r="B38" i="4" s="1"/>
  <c r="B56" i="4" s="1"/>
  <c r="A39" i="6" s="1"/>
  <c r="P37" i="4"/>
  <c r="Q37" i="4" s="1"/>
  <c r="P35" i="4"/>
  <c r="P34" i="4"/>
  <c r="P33" i="4"/>
  <c r="P32" i="4"/>
  <c r="P31" i="4"/>
  <c r="Q31" i="4" s="1"/>
  <c r="P29" i="4"/>
  <c r="P28" i="4"/>
  <c r="P27" i="4"/>
  <c r="P26" i="4"/>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s="1"/>
  <c r="F64" i="6"/>
  <c r="G5" i="6"/>
  <c r="H5" i="6"/>
  <c r="D5" i="6"/>
  <c r="G17" i="6"/>
  <c r="H17" i="6"/>
  <c r="G15" i="6"/>
  <c r="H15" i="6"/>
  <c r="B20" i="6"/>
  <c r="F25" i="6" s="1"/>
  <c r="B21" i="6"/>
  <c r="F26" i="6" s="1"/>
  <c r="B19" i="6"/>
  <c r="G19" i="6" s="1"/>
  <c r="H19" i="6" s="1"/>
  <c r="D19" i="6" s="1"/>
  <c r="A38" i="2"/>
  <c r="J4" i="5"/>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55"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19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04" i="5"/>
  <c r="S392" i="5"/>
  <c r="S348" i="5"/>
  <c r="S433" i="5"/>
  <c r="S444" i="5"/>
  <c r="S584" i="5"/>
  <c r="S51" i="5"/>
  <c r="S81"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R87" i="5"/>
  <c r="I524" i="5"/>
  <c r="R439" i="5"/>
  <c r="I293" i="5"/>
  <c r="B30" i="6"/>
  <c r="G30" i="6" s="1"/>
  <c r="J306" i="5"/>
  <c r="F875" i="5"/>
  <c r="R888" i="5"/>
  <c r="F783" i="5"/>
  <c r="R757" i="5"/>
  <c r="I588" i="5"/>
  <c r="R431" i="5"/>
  <c r="J435"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R207" i="5"/>
  <c r="F281" i="5"/>
  <c r="I983" i="5"/>
  <c r="F749" i="5"/>
  <c r="J717" i="5"/>
  <c r="H640" i="5"/>
  <c r="H588" i="5"/>
  <c r="R435" i="5"/>
  <c r="H431" i="5"/>
  <c r="I281" i="5"/>
  <c r="H556" i="5"/>
  <c r="R794" i="5"/>
  <c r="I634" i="5"/>
  <c r="H670" i="5"/>
  <c r="F814" i="5"/>
  <c r="J814" i="5"/>
  <c r="F243" i="5"/>
  <c r="F592" i="5"/>
  <c r="R592" i="5"/>
  <c r="F867" i="5"/>
  <c r="J303" i="5"/>
  <c r="H243" i="5"/>
  <c r="H634" i="5"/>
  <c r="R423" i="5"/>
  <c r="J423" i="5"/>
  <c r="R303" i="5"/>
  <c r="F330" i="5"/>
  <c r="H379" i="5"/>
  <c r="J330" i="5"/>
  <c r="R71" i="5"/>
  <c r="I971" i="5"/>
  <c r="F971" i="5"/>
  <c r="I817" i="5"/>
  <c r="I330" i="5"/>
  <c r="J379" i="5"/>
  <c r="I303" i="5"/>
  <c r="H201" i="5"/>
  <c r="R971" i="5"/>
  <c r="H971" i="5"/>
  <c r="J817" i="5"/>
  <c r="R817" i="5"/>
  <c r="F303" i="5"/>
  <c r="I201" i="5"/>
  <c r="F201" i="5"/>
  <c r="I891" i="5"/>
  <c r="H867" i="5"/>
  <c r="R712" i="5"/>
  <c r="R427" i="5"/>
  <c r="J194" i="5"/>
  <c r="R608" i="5"/>
  <c r="J712" i="5"/>
  <c r="R640" i="5"/>
  <c r="R672" i="5"/>
  <c r="R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R191" i="5"/>
  <c r="R103" i="5"/>
  <c r="R314" i="5"/>
  <c r="H314" i="5"/>
  <c r="H207" i="5"/>
  <c r="I207" i="5"/>
  <c r="F207" i="5"/>
  <c r="R330" i="5"/>
  <c r="H330" i="5"/>
  <c r="H891" i="5"/>
  <c r="H915" i="5"/>
  <c r="J608" i="5"/>
  <c r="I239" i="5"/>
  <c r="R239" i="5"/>
  <c r="F239" i="5"/>
  <c r="I391" i="5"/>
  <c r="F391" i="5"/>
  <c r="F915" i="5"/>
  <c r="H712" i="5"/>
  <c r="H427" i="5"/>
  <c r="H194" i="5"/>
  <c r="R43" i="5"/>
  <c r="R91" i="5"/>
  <c r="H794" i="5"/>
  <c r="I794" i="5"/>
  <c r="J794" i="5"/>
  <c r="F794" i="5"/>
  <c r="J1007" i="5"/>
  <c r="H1007" i="5"/>
  <c r="F1007" i="5"/>
  <c r="R632" i="5"/>
  <c r="F632" i="5"/>
  <c r="J632" i="5"/>
  <c r="J829" i="5"/>
  <c r="H829" i="5"/>
  <c r="R814" i="5"/>
  <c r="I814" i="5"/>
  <c r="I443" i="5"/>
  <c r="F443" i="5"/>
  <c r="R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52" i="6"/>
  <c r="G52" i="6" s="1"/>
  <c r="B40" i="6"/>
  <c r="G40" i="6"/>
  <c r="B50" i="6"/>
  <c r="G50" i="6"/>
  <c r="B25" i="6"/>
  <c r="G25" i="6" s="1"/>
  <c r="B35" i="6"/>
  <c r="G35" i="6" s="1"/>
  <c r="B29" i="6"/>
  <c r="G29" i="6" s="1"/>
  <c r="B24" i="6"/>
  <c r="G24" i="6" s="1"/>
  <c r="G22"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36" i="6"/>
  <c r="G36" i="6" s="1"/>
  <c r="G20" i="6"/>
  <c r="H20" i="6" s="1"/>
  <c r="B45" i="6"/>
  <c r="G45" i="6" s="1"/>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80" i="5"/>
  <c r="J200" i="5"/>
  <c r="H200" i="5"/>
  <c r="F200" i="5"/>
  <c r="R200" i="5"/>
  <c r="I200" i="5"/>
  <c r="R156" i="5"/>
  <c r="J308" i="5"/>
  <c r="R308" i="5"/>
  <c r="H308" i="5"/>
  <c r="F308" i="5"/>
  <c r="I308" i="5"/>
  <c r="R100" i="5"/>
  <c r="J312" i="5"/>
  <c r="F312" i="5"/>
  <c r="R312" i="5"/>
  <c r="I312" i="5"/>
  <c r="H312" i="5"/>
  <c r="R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984" i="5"/>
  <c r="F984" i="5"/>
  <c r="R984" i="5"/>
  <c r="J984" i="5"/>
  <c r="I984" i="5"/>
  <c r="X27" i="5"/>
  <c r="X43" i="5"/>
  <c r="X87" i="5"/>
  <c r="X103" i="5"/>
  <c r="X175" i="5"/>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X8" i="5"/>
  <c r="V209" i="5"/>
  <c r="G209" i="5"/>
  <c r="R379" i="5"/>
  <c r="E379" i="5"/>
  <c r="X379" i="5" s="1"/>
  <c r="H423" i="5"/>
  <c r="E423" i="5"/>
  <c r="X423" i="5" s="1"/>
  <c r="X60" i="5"/>
  <c r="X68" i="5"/>
  <c r="X80" i="5"/>
  <c r="X36" i="5"/>
  <c r="X72" i="5"/>
  <c r="X101"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s="1"/>
  <c r="R6" i="5"/>
  <c r="X6" i="5"/>
  <c r="R20" i="5"/>
  <c r="R21" i="5"/>
  <c r="R28" i="5"/>
  <c r="R29" i="5"/>
  <c r="R36" i="5"/>
  <c r="R40" i="5"/>
  <c r="R44" i="5"/>
  <c r="R56" i="5"/>
  <c r="R60" i="5"/>
  <c r="R64" i="5"/>
  <c r="R68" i="5"/>
  <c r="R72" i="5"/>
  <c r="R76" i="5"/>
  <c r="R80" i="5"/>
  <c r="R84" i="5"/>
  <c r="R88" i="5"/>
  <c r="R96" i="5"/>
  <c r="R110" i="5"/>
  <c r="R114" i="5"/>
  <c r="X117" i="5"/>
  <c r="R117" i="5"/>
  <c r="R118" i="5"/>
  <c r="R122" i="5"/>
  <c r="R125" i="5"/>
  <c r="R126" i="5"/>
  <c r="R130" i="5"/>
  <c r="R138" i="5"/>
  <c r="R149" i="5"/>
  <c r="R150" i="5"/>
  <c r="R154" i="5"/>
  <c r="R157" i="5"/>
  <c r="R162" i="5"/>
  <c r="R170" i="5"/>
  <c r="R174" i="5"/>
  <c r="X181" i="5"/>
  <c r="R182" i="5"/>
  <c r="R190"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G65" i="6" s="1"/>
  <c r="AB8" i="5"/>
  <c r="G67" i="6" s="1"/>
  <c r="AB9" i="5"/>
  <c r="AB10" i="5"/>
  <c r="AB11" i="5"/>
  <c r="AB12" i="5"/>
  <c r="AB13" i="5"/>
  <c r="AB14" i="5"/>
  <c r="AB15" i="5"/>
  <c r="AB16" i="5"/>
  <c r="AB17" i="5"/>
  <c r="AB18" i="5"/>
  <c r="AB22" i="5"/>
  <c r="AB24" i="5"/>
  <c r="AB26" i="5"/>
  <c r="S30" i="5"/>
  <c r="AB30" i="5"/>
  <c r="AB32"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AB158" i="5"/>
  <c r="AB160" i="5"/>
  <c r="AB162" i="5"/>
  <c r="S162" i="5"/>
  <c r="AB164" i="5"/>
  <c r="AB166" i="5"/>
  <c r="AB167" i="5"/>
  <c r="S170" i="5"/>
  <c r="AB170" i="5"/>
  <c r="AB172" i="5"/>
  <c r="AB174" i="5"/>
  <c r="AB176" i="5"/>
  <c r="AB178" i="5"/>
  <c r="AB182" i="5"/>
  <c r="AB186" i="5"/>
  <c r="AB188" i="5"/>
  <c r="AB189"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4" i="5"/>
  <c r="R15" i="5"/>
  <c r="R16" i="5"/>
  <c r="R17" i="5"/>
  <c r="R18" i="5"/>
  <c r="R22" i="5"/>
  <c r="R23" i="5"/>
  <c r="R24" i="5"/>
  <c r="R30" i="5"/>
  <c r="R31" i="5"/>
  <c r="R32" i="5"/>
  <c r="R33" i="5"/>
  <c r="R34" i="5"/>
  <c r="R35" i="5"/>
  <c r="R37" i="5"/>
  <c r="R38" i="5"/>
  <c r="R39" i="5"/>
  <c r="R42" i="5"/>
  <c r="R46" i="5"/>
  <c r="R47" i="5"/>
  <c r="X49" i="5"/>
  <c r="R49" i="5"/>
  <c r="R50" i="5"/>
  <c r="R51" i="5"/>
  <c r="R53" i="5"/>
  <c r="R54" i="5"/>
  <c r="R55" i="5"/>
  <c r="X61" i="5"/>
  <c r="R61" i="5"/>
  <c r="R62" i="5"/>
  <c r="X62" i="5"/>
  <c r="R63" i="5"/>
  <c r="R66" i="5"/>
  <c r="R67" i="5"/>
  <c r="R69" i="5"/>
  <c r="R70" i="5"/>
  <c r="R75" i="5"/>
  <c r="R77" i="5"/>
  <c r="R78" i="5"/>
  <c r="X78" i="5"/>
  <c r="R79" i="5"/>
  <c r="R81" i="5"/>
  <c r="R82" i="5"/>
  <c r="R83" i="5"/>
  <c r="R89" i="5"/>
  <c r="R90" i="5"/>
  <c r="X92" i="5"/>
  <c r="R92" i="5"/>
  <c r="R93" i="5"/>
  <c r="X93" i="5"/>
  <c r="R94" i="5"/>
  <c r="R95" i="5"/>
  <c r="R97" i="5"/>
  <c r="R98" i="5"/>
  <c r="R99" i="5"/>
  <c r="R107" i="5"/>
  <c r="R108" i="5"/>
  <c r="X108" i="5"/>
  <c r="R109" i="5"/>
  <c r="R111" i="5"/>
  <c r="R113" i="5"/>
  <c r="X118" i="5"/>
  <c r="R119" i="5"/>
  <c r="X121" i="5"/>
  <c r="X122" i="5"/>
  <c r="R123" i="5"/>
  <c r="R127" i="5"/>
  <c r="R128" i="5"/>
  <c r="R129" i="5"/>
  <c r="R131" i="5"/>
  <c r="R133" i="5"/>
  <c r="X133" i="5"/>
  <c r="R134" i="5"/>
  <c r="R135" i="5"/>
  <c r="R137" i="5"/>
  <c r="R141" i="5"/>
  <c r="R143" i="5"/>
  <c r="R145" i="5"/>
  <c r="R147" i="5"/>
  <c r="R152" i="5"/>
  <c r="X152" i="5"/>
  <c r="R153" i="5"/>
  <c r="X153" i="5"/>
  <c r="R155" i="5"/>
  <c r="X161" i="5"/>
  <c r="R164" i="5"/>
  <c r="R165" i="5"/>
  <c r="R166" i="5"/>
  <c r="R167" i="5"/>
  <c r="R168" i="5"/>
  <c r="R169" i="5"/>
  <c r="X169" i="5"/>
  <c r="X170" i="5"/>
  <c r="R171" i="5"/>
  <c r="R177" i="5"/>
  <c r="X182" i="5"/>
  <c r="R183" i="5"/>
  <c r="R185" i="5"/>
  <c r="X190" i="5"/>
  <c r="X191" i="5"/>
  <c r="X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9" i="6" a="1"/>
  <c r="G69" i="6" s="1"/>
  <c r="H69" i="6" s="1"/>
  <c r="T30" i="5"/>
  <c r="S40" i="5"/>
  <c r="S90" i="5"/>
  <c r="S7" i="5"/>
  <c r="S120" i="5"/>
  <c r="S29" i="5"/>
  <c r="S79" i="5"/>
  <c r="S58" i="5"/>
  <c r="S85" i="5"/>
  <c r="S158" i="5"/>
  <c r="S27" i="5"/>
  <c r="S97" i="5"/>
  <c r="S123" i="5"/>
  <c r="S41" i="5"/>
  <c r="S125" i="5"/>
  <c r="S119" i="5"/>
  <c r="S42" i="5"/>
  <c r="S59" i="5"/>
  <c r="S114" i="5"/>
  <c r="S160" i="5"/>
  <c r="S161" i="5"/>
  <c r="S70" i="5"/>
  <c r="S110" i="5"/>
  <c r="S187" i="5"/>
  <c r="S11" i="5"/>
  <c r="S107" i="5"/>
  <c r="S129" i="5"/>
  <c r="S115" i="5"/>
  <c r="S130" i="5"/>
  <c r="S106" i="5"/>
  <c r="S77" i="5"/>
  <c r="S49" i="5"/>
  <c r="S69" i="5"/>
  <c r="S64" i="5"/>
  <c r="S112" i="5"/>
  <c r="S156" i="5"/>
  <c r="S101" i="5"/>
  <c r="S127" i="5"/>
  <c r="S113" i="5"/>
  <c r="S78" i="5"/>
  <c r="S26" i="5"/>
  <c r="S139" i="5"/>
  <c r="S179" i="5"/>
  <c r="S108" i="5"/>
  <c r="S71" i="5"/>
  <c r="S132" i="5"/>
  <c r="S43" i="5"/>
  <c r="S22" i="5"/>
  <c r="S18" i="5"/>
  <c r="S146" i="5"/>
  <c r="S159" i="5"/>
  <c r="S136" i="5"/>
  <c r="S104" i="5"/>
  <c r="S186" i="5"/>
  <c r="S189" i="5"/>
  <c r="S133" i="5"/>
  <c r="S46" i="5"/>
  <c r="S134" i="5"/>
  <c r="S68" i="5"/>
  <c r="S8" i="5"/>
  <c r="S44" i="5"/>
  <c r="S47" i="5"/>
  <c r="S24" i="5"/>
  <c r="S169" i="5"/>
  <c r="S48" i="5"/>
  <c r="S184" i="5"/>
  <c r="S89" i="5"/>
  <c r="G64" i="6" a="1"/>
  <c r="S116" i="5"/>
  <c r="S23" i="5"/>
  <c r="S154" i="5"/>
  <c r="S135" i="5"/>
  <c r="S74" i="5"/>
  <c r="S9" i="5"/>
  <c r="T162" i="5"/>
  <c r="S61" i="5"/>
  <c r="S25" i="5"/>
  <c r="S176" i="5"/>
  <c r="S145" i="5"/>
  <c r="S117" i="5"/>
  <c r="S63" i="5"/>
  <c r="S62" i="5"/>
  <c r="S91" i="5"/>
  <c r="S19" i="5"/>
  <c r="S124" i="5"/>
  <c r="S45" i="5"/>
  <c r="S92" i="5"/>
  <c r="S82" i="5"/>
  <c r="S143" i="5"/>
  <c r="S144" i="5"/>
  <c r="S14" i="5"/>
  <c r="S39" i="5"/>
  <c r="S53" i="5"/>
  <c r="S54" i="5"/>
  <c r="S140" i="5"/>
  <c r="S38" i="5"/>
  <c r="S94" i="5"/>
  <c r="S173" i="5"/>
  <c r="S33" i="5"/>
  <c r="S131" i="5"/>
  <c r="S171" i="5"/>
  <c r="S166" i="5"/>
  <c r="S150" i="5"/>
  <c r="S20" i="5"/>
  <c r="S122" i="5"/>
  <c r="S72" i="5"/>
  <c r="S57" i="5"/>
  <c r="S16" i="5"/>
  <c r="S13" i="5"/>
  <c r="S34" i="5"/>
  <c r="S55" i="5"/>
  <c r="S177" i="5"/>
  <c r="S56" i="5"/>
  <c r="S32" i="5"/>
  <c r="S164" i="5"/>
  <c r="S178" i="5"/>
  <c r="S137" i="5"/>
  <c r="S98" i="5"/>
  <c r="S142" i="5"/>
  <c r="S157" i="5"/>
  <c r="S165" i="5"/>
  <c r="S109" i="5"/>
  <c r="S87" i="5"/>
  <c r="S103" i="5"/>
  <c r="S31" i="5"/>
  <c r="S6" i="5"/>
  <c r="S155" i="5"/>
  <c r="S172" i="5"/>
  <c r="S86" i="5"/>
  <c r="S66" i="5"/>
  <c r="T81" i="5"/>
  <c r="S67" i="5"/>
  <c r="S147" i="5"/>
  <c r="S80" i="5"/>
  <c r="S128" i="5"/>
  <c r="S28" i="5"/>
  <c r="S153" i="5"/>
  <c r="S100" i="5"/>
  <c r="S37" i="5"/>
  <c r="S21" i="5"/>
  <c r="S183" i="5"/>
  <c r="S188" i="5"/>
  <c r="S65" i="5"/>
  <c r="S75" i="5"/>
  <c r="S141" i="5"/>
  <c r="S12" i="5"/>
  <c r="S148" i="5"/>
  <c r="S174" i="5"/>
  <c r="S83" i="5"/>
  <c r="S84" i="5"/>
  <c r="S73" i="5"/>
  <c r="S163" i="5"/>
  <c r="S182" i="5"/>
  <c r="S50" i="5"/>
  <c r="S76" i="5"/>
  <c r="S149" i="5"/>
  <c r="S99" i="5"/>
  <c r="S5" i="5"/>
  <c r="S36" i="5"/>
  <c r="S138" i="5"/>
  <c r="S118" i="5"/>
  <c r="T170" i="5"/>
  <c r="S126" i="5"/>
  <c r="S151" i="5"/>
  <c r="S93" i="5"/>
  <c r="S175" i="5"/>
  <c r="S52" i="5"/>
  <c r="S60" i="5"/>
  <c r="S168" i="5"/>
  <c r="S191" i="5"/>
  <c r="S190" i="5"/>
  <c r="S95" i="5"/>
  <c r="S111" i="5"/>
  <c r="S185" i="5"/>
  <c r="S105" i="5"/>
  <c r="S180" i="5"/>
  <c r="S10" i="5"/>
  <c r="S35" i="5"/>
  <c r="S17" i="5"/>
  <c r="S152" i="5"/>
  <c r="S167" i="5"/>
  <c r="S15" i="5"/>
  <c r="S102" i="5"/>
  <c r="S96" i="5"/>
  <c r="S88" i="5"/>
  <c r="S181" i="5"/>
  <c r="S121" i="5"/>
  <c r="T51" i="5"/>
  <c r="D49" i="4" l="1"/>
  <c r="D67" i="4"/>
  <c r="G68" i="6"/>
  <c r="G66" i="6"/>
  <c r="B34" i="4"/>
  <c r="A21" i="6" s="1"/>
  <c r="H22" i="6"/>
  <c r="C22" i="6" s="1"/>
  <c r="F67" i="6"/>
  <c r="H67" i="6" s="1"/>
  <c r="D67" i="6" s="1"/>
  <c r="F41" i="6"/>
  <c r="F36" i="6"/>
  <c r="H36" i="6" s="1"/>
  <c r="D36" i="6" s="1"/>
  <c r="F51" i="6"/>
  <c r="G21" i="6"/>
  <c r="H21" i="6" s="1"/>
  <c r="B31" i="6"/>
  <c r="G31" i="6" s="1"/>
  <c r="B26" i="6"/>
  <c r="G26" i="6" s="1"/>
  <c r="H26" i="6" s="1"/>
  <c r="D26" i="6" s="1"/>
  <c r="B41" i="6"/>
  <c r="G41" i="6" s="1"/>
  <c r="B46" i="6"/>
  <c r="G46" i="6" s="1"/>
  <c r="F66" i="6"/>
  <c r="H66" i="6" s="1"/>
  <c r="D66" i="6" s="1"/>
  <c r="F50" i="6"/>
  <c r="F30" i="6"/>
  <c r="H30" i="6" s="1"/>
  <c r="F35" i="6"/>
  <c r="H35" i="6" s="1"/>
  <c r="F40" i="6"/>
  <c r="H40" i="6" s="1"/>
  <c r="D40" i="6" s="1"/>
  <c r="F45" i="6"/>
  <c r="H45" i="6" s="1"/>
  <c r="D45" i="6" s="1"/>
  <c r="K66" i="6"/>
  <c r="D20" i="6"/>
  <c r="H50" i="6"/>
  <c r="D50" i="6" s="1"/>
  <c r="H25" i="6"/>
  <c r="D25" i="6" s="1"/>
  <c r="B34" i="6"/>
  <c r="G34" i="6" s="1"/>
  <c r="B49" i="6"/>
  <c r="G49" i="6" s="1"/>
  <c r="C17" i="6"/>
  <c r="B44" i="6"/>
  <c r="G44" i="6" s="1"/>
  <c r="F24" i="6"/>
  <c r="B39" i="6"/>
  <c r="G39" i="6" s="1"/>
  <c r="F52" i="6"/>
  <c r="H52" i="6" s="1"/>
  <c r="D52" i="6" s="1"/>
  <c r="F47" i="6"/>
  <c r="F37" i="6"/>
  <c r="F42" i="6"/>
  <c r="F68" i="6"/>
  <c r="F54" i="6"/>
  <c r="F57" i="6" s="1"/>
  <c r="H57" i="6" s="1"/>
  <c r="D57" i="6" s="1"/>
  <c r="F32" i="6"/>
  <c r="D22" i="6"/>
  <c r="A27" i="6"/>
  <c r="B53" i="4"/>
  <c r="A37" i="6" s="1"/>
  <c r="B59" i="4"/>
  <c r="A42" i="6" s="1"/>
  <c r="B65" i="4"/>
  <c r="A47" i="6" s="1"/>
  <c r="B71" i="4"/>
  <c r="A52" i="6" s="1"/>
  <c r="B27" i="6"/>
  <c r="G27" i="6" s="1"/>
  <c r="H27" i="6" s="1"/>
  <c r="B42" i="6"/>
  <c r="G42" i="6" s="1"/>
  <c r="B37" i="6"/>
  <c r="G37" i="6" s="1"/>
  <c r="B47" i="6"/>
  <c r="G47" i="6" s="1"/>
  <c r="B32" i="6"/>
  <c r="G32" i="6" s="1"/>
  <c r="B58" i="4"/>
  <c r="A41" i="6" s="1"/>
  <c r="B70" i="4"/>
  <c r="A51" i="6" s="1"/>
  <c r="B52" i="4"/>
  <c r="A36" i="6" s="1"/>
  <c r="C67" i="6"/>
  <c r="F46" i="6"/>
  <c r="F31" i="6"/>
  <c r="G16" i="6"/>
  <c r="H16" i="6" s="1"/>
  <c r="B51" i="6"/>
  <c r="G51" i="6" s="1"/>
  <c r="H51" i="6" s="1"/>
  <c r="C20" i="6"/>
  <c r="F59" i="6"/>
  <c r="H59" i="6" s="1"/>
  <c r="D59" i="6" s="1"/>
  <c r="C5" i="6"/>
  <c r="C15" i="6"/>
  <c r="C66" i="6"/>
  <c r="C40" i="6"/>
  <c r="B43" i="4"/>
  <c r="A28" i="6" s="1"/>
  <c r="B89" i="4"/>
  <c r="A63" i="6" s="1"/>
  <c r="B61" i="4"/>
  <c r="A43" i="6" s="1"/>
  <c r="B49" i="4"/>
  <c r="A33" i="6" s="1"/>
  <c r="B37" i="4"/>
  <c r="A23" i="6" s="1"/>
  <c r="B55" i="4"/>
  <c r="A38" i="6" s="1"/>
  <c r="B83" i="4"/>
  <c r="A59" i="6" s="1"/>
  <c r="B85" i="4"/>
  <c r="A60" i="6" s="1"/>
  <c r="B81" i="4"/>
  <c r="A58" i="6" s="1"/>
  <c r="B31" i="4"/>
  <c r="A18" i="6" s="1"/>
  <c r="B67" i="4"/>
  <c r="A48" i="6" s="1"/>
  <c r="B77" i="4"/>
  <c r="A55" i="6" s="1"/>
  <c r="B87" i="4"/>
  <c r="A62" i="6" s="1"/>
  <c r="B79" i="4"/>
  <c r="A57" i="6" s="1"/>
  <c r="B75" i="4"/>
  <c r="A54" i="6" s="1"/>
  <c r="K65" i="6"/>
  <c r="D14" i="6"/>
  <c r="B62" i="4"/>
  <c r="A44" i="6" s="1"/>
  <c r="C14" i="6"/>
  <c r="C19" i="6"/>
  <c r="A24" i="6"/>
  <c r="B68" i="4"/>
  <c r="A49" i="6" s="1"/>
  <c r="B50" i="4"/>
  <c r="A34" i="6" s="1"/>
  <c r="C12" i="6"/>
  <c r="C11" i="6"/>
  <c r="D55" i="4"/>
  <c r="A26" i="6"/>
  <c r="D31" i="4"/>
  <c r="C9" i="6"/>
  <c r="C8" i="6"/>
  <c r="D43" i="4"/>
  <c r="C7" i="6"/>
  <c r="D74" i="4"/>
  <c r="D37" i="4"/>
  <c r="B64" i="4"/>
  <c r="A46" i="6" s="1"/>
  <c r="C10" i="6"/>
  <c r="G31" i="4"/>
  <c r="G74" i="4"/>
  <c r="G67" i="4"/>
  <c r="G37" i="4"/>
  <c r="G43" i="4"/>
  <c r="G49" i="4"/>
  <c r="G61" i="4"/>
  <c r="H6" i="6"/>
  <c r="D6" i="6" s="1"/>
  <c r="B35" i="4"/>
  <c r="A22" i="6" s="1"/>
  <c r="C6" i="6"/>
  <c r="B33" i="4"/>
  <c r="A20" i="6" s="1"/>
  <c r="A14" i="6"/>
  <c r="B32" i="4"/>
  <c r="A19" i="6" s="1"/>
  <c r="C4" i="6"/>
  <c r="G64" i="6"/>
  <c r="B51" i="4"/>
  <c r="A35" i="6" s="1"/>
  <c r="B69" i="4"/>
  <c r="A50" i="6" s="1"/>
  <c r="B63" i="4"/>
  <c r="A45" i="6" s="1"/>
  <c r="A25" i="6"/>
  <c r="T69" i="5"/>
  <c r="T35" i="5"/>
  <c r="T55" i="5"/>
  <c r="T130" i="5"/>
  <c r="T68" i="5"/>
  <c r="T157" i="5"/>
  <c r="T60" i="5"/>
  <c r="T19" i="5"/>
  <c r="T150" i="5"/>
  <c r="T164" i="5"/>
  <c r="T126" i="5"/>
  <c r="T114" i="5"/>
  <c r="T168" i="5"/>
  <c r="T78" i="5"/>
  <c r="T53" i="5"/>
  <c r="T177" i="5"/>
  <c r="T116" i="5"/>
  <c r="T34" i="5"/>
  <c r="T12" i="5"/>
  <c r="T137" i="5"/>
  <c r="T46" i="5"/>
  <c r="T85" i="5"/>
  <c r="T178" i="5"/>
  <c r="T184" i="5"/>
  <c r="T73" i="5"/>
  <c r="T57" i="5"/>
  <c r="T79" i="5"/>
  <c r="T108" i="5"/>
  <c r="T20" i="5"/>
  <c r="T171" i="5"/>
  <c r="T190" i="5"/>
  <c r="T121" i="5"/>
  <c r="T98" i="5"/>
  <c r="T95" i="5"/>
  <c r="T166" i="5"/>
  <c r="T18" i="5"/>
  <c r="T176" i="5"/>
  <c r="T174" i="5"/>
  <c r="T80" i="5"/>
  <c r="T63" i="5"/>
  <c r="T32" i="5"/>
  <c r="T43" i="5"/>
  <c r="T100" i="5"/>
  <c r="T41" i="5"/>
  <c r="T93" i="5"/>
  <c r="T99" i="5"/>
  <c r="T74" i="5"/>
  <c r="T127" i="5"/>
  <c r="T125" i="5"/>
  <c r="T105" i="5"/>
  <c r="T54" i="5"/>
  <c r="T159" i="5"/>
  <c r="T189" i="5"/>
  <c r="T119" i="5"/>
  <c r="T8" i="5"/>
  <c r="T22" i="5"/>
  <c r="T66" i="5"/>
  <c r="T64" i="5"/>
  <c r="T118" i="5"/>
  <c r="T89" i="5"/>
  <c r="T42" i="5"/>
  <c r="T153" i="5"/>
  <c r="T70" i="5"/>
  <c r="T39" i="5"/>
  <c r="T76" i="5"/>
  <c r="T36" i="5"/>
  <c r="T180" i="5"/>
  <c r="T131" i="5"/>
  <c r="T90" i="5"/>
  <c r="T7" i="5"/>
  <c r="T23" i="5"/>
  <c r="T52" i="5"/>
  <c r="T163" i="5"/>
  <c r="T140" i="5"/>
  <c r="T109" i="5"/>
  <c r="T37" i="5"/>
  <c r="T175" i="5"/>
  <c r="T92" i="5"/>
  <c r="T48" i="5"/>
  <c r="T182" i="5"/>
  <c r="T33" i="5"/>
  <c r="T45" i="5"/>
  <c r="T183" i="5"/>
  <c r="T129" i="5"/>
  <c r="T106" i="5"/>
  <c r="T47" i="5"/>
  <c r="T103" i="5"/>
  <c r="T120" i="5"/>
  <c r="T165" i="5"/>
  <c r="T173" i="5"/>
  <c r="T142" i="5"/>
  <c r="T88" i="5"/>
  <c r="T24" i="5"/>
  <c r="T146" i="5"/>
  <c r="T138" i="5"/>
  <c r="T143" i="5"/>
  <c r="T148" i="5"/>
  <c r="T31" i="5"/>
  <c r="T187" i="5"/>
  <c r="T147" i="5"/>
  <c r="T38" i="5"/>
  <c r="T65" i="5"/>
  <c r="T71" i="5"/>
  <c r="T191" i="5"/>
  <c r="T83" i="5"/>
  <c r="T67" i="5"/>
  <c r="T151" i="5"/>
  <c r="T50" i="5"/>
  <c r="T17" i="5"/>
  <c r="T91" i="5"/>
  <c r="T136" i="5"/>
  <c r="T11" i="5"/>
  <c r="T14" i="5"/>
  <c r="T16" i="5"/>
  <c r="T110" i="5"/>
  <c r="T97" i="5"/>
  <c r="T123" i="5"/>
  <c r="T122" i="5"/>
  <c r="T9" i="5"/>
  <c r="T128" i="5"/>
  <c r="T179" i="5"/>
  <c r="T169" i="5"/>
  <c r="T152" i="5"/>
  <c r="T96" i="5"/>
  <c r="T135" i="5"/>
  <c r="T107" i="5"/>
  <c r="T155" i="5"/>
  <c r="T134" i="5"/>
  <c r="T72" i="5"/>
  <c r="T84" i="5"/>
  <c r="T28" i="5"/>
  <c r="T94" i="5"/>
  <c r="T27" i="5"/>
  <c r="T154" i="5"/>
  <c r="T40" i="5"/>
  <c r="T61" i="5"/>
  <c r="T5" i="5"/>
  <c r="T49" i="5"/>
  <c r="T111" i="5"/>
  <c r="T188" i="5"/>
  <c r="T101" i="5"/>
  <c r="T158" i="5"/>
  <c r="T132" i="5"/>
  <c r="T59" i="5"/>
  <c r="T141" i="5"/>
  <c r="T29" i="5"/>
  <c r="T10" i="5"/>
  <c r="T139" i="5"/>
  <c r="T133" i="5"/>
  <c r="T82" i="5"/>
  <c r="T6" i="5"/>
  <c r="T172" i="5"/>
  <c r="T62" i="5"/>
  <c r="T87" i="5"/>
  <c r="T161" i="5"/>
  <c r="T124" i="5"/>
  <c r="T167" i="5"/>
  <c r="T181" i="5"/>
  <c r="T160" i="5"/>
  <c r="T144" i="5"/>
  <c r="T56" i="5"/>
  <c r="T15" i="5"/>
  <c r="T102" i="5"/>
  <c r="T186" i="5"/>
  <c r="T112" i="5"/>
  <c r="T58" i="5"/>
  <c r="T25" i="5"/>
  <c r="T115" i="5"/>
  <c r="T77" i="5"/>
  <c r="T21" i="5"/>
  <c r="T113" i="5"/>
  <c r="T75" i="5"/>
  <c r="T117" i="5"/>
  <c r="T13" i="5"/>
  <c r="T156" i="5"/>
  <c r="T185" i="5"/>
  <c r="T149" i="5"/>
  <c r="T86" i="5"/>
  <c r="H68" i="6" l="1"/>
  <c r="D68" i="6" s="1"/>
  <c r="H41" i="6"/>
  <c r="H37" i="6"/>
  <c r="C36" i="6"/>
  <c r="H31" i="6"/>
  <c r="D31" i="6" s="1"/>
  <c r="K68" i="6"/>
  <c r="H42" i="6"/>
  <c r="D42" i="6" s="1"/>
  <c r="C52" i="6"/>
  <c r="D21" i="6"/>
  <c r="C21" i="6"/>
  <c r="C26" i="6"/>
  <c r="H46" i="6"/>
  <c r="D46" i="6" s="1"/>
  <c r="D35" i="6"/>
  <c r="C35" i="6"/>
  <c r="D30" i="6"/>
  <c r="C30" i="6"/>
  <c r="F60" i="6"/>
  <c r="H60" i="6" s="1"/>
  <c r="D60" i="6" s="1"/>
  <c r="C25" i="6"/>
  <c r="C45" i="6"/>
  <c r="F63" i="6"/>
  <c r="H63" i="6" s="1"/>
  <c r="F55" i="6"/>
  <c r="F56" i="6" s="1"/>
  <c r="H56" i="6" s="1"/>
  <c r="C50" i="6"/>
  <c r="F34" i="6"/>
  <c r="H34" i="6" s="1"/>
  <c r="F39" i="6"/>
  <c r="H39" i="6" s="1"/>
  <c r="F65" i="6"/>
  <c r="F49" i="6"/>
  <c r="H49" i="6" s="1"/>
  <c r="F44" i="6"/>
  <c r="F29" i="6"/>
  <c r="H29" i="6" s="1"/>
  <c r="H44" i="6"/>
  <c r="H54" i="6"/>
  <c r="H24" i="6"/>
  <c r="D27" i="6"/>
  <c r="C27" i="6"/>
  <c r="F58" i="6"/>
  <c r="H58" i="6" s="1"/>
  <c r="C57" i="6"/>
  <c r="H32" i="6"/>
  <c r="H47" i="6"/>
  <c r="F62" i="6"/>
  <c r="H62" i="6" s="1"/>
  <c r="D51" i="6"/>
  <c r="C51" i="6"/>
  <c r="C59" i="6"/>
  <c r="C16" i="6"/>
  <c r="D16" i="6"/>
  <c r="K67" i="6"/>
  <c r="B64" i="6"/>
  <c r="H64" i="6"/>
  <c r="C68" i="6" l="1"/>
  <c r="C46" i="6"/>
  <c r="D41" i="6"/>
  <c r="C41" i="6"/>
  <c r="D37" i="6"/>
  <c r="C37" i="6"/>
  <c r="C31" i="6"/>
  <c r="C42" i="6"/>
  <c r="C60" i="6"/>
  <c r="H55" i="6"/>
  <c r="D55" i="6" s="1"/>
  <c r="D63" i="6"/>
  <c r="C63" i="6"/>
  <c r="D24" i="6"/>
  <c r="C24" i="6"/>
  <c r="D54" i="6"/>
  <c r="C54" i="6"/>
  <c r="D44" i="6"/>
  <c r="C44" i="6"/>
  <c r="D29" i="6"/>
  <c r="C29" i="6"/>
  <c r="D49" i="6"/>
  <c r="C49" i="6"/>
  <c r="H65" i="6"/>
  <c r="B2" i="6"/>
  <c r="C2" i="6"/>
  <c r="D39" i="6"/>
  <c r="C39" i="6"/>
  <c r="D34" i="6"/>
  <c r="C34" i="6"/>
  <c r="D62" i="6"/>
  <c r="C62" i="6"/>
  <c r="D47" i="6"/>
  <c r="C47" i="6"/>
  <c r="D32" i="6"/>
  <c r="C32" i="6"/>
  <c r="D58" i="6"/>
  <c r="C58" i="6"/>
  <c r="D56" i="6"/>
  <c r="C56" i="6"/>
  <c r="C64" i="6"/>
  <c r="D64" i="6"/>
  <c r="H70" i="6" l="1"/>
  <c r="D2" i="6" s="1"/>
  <c r="C55" i="6"/>
  <c r="D65" i="6"/>
  <c r="C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<sst xmlns="http://schemas.openxmlformats.org/spreadsheetml/2006/main" count="24257" uniqueCount="16013">
  <si>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</si>
  <si>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</si>
  <si>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</si>
  <si>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</si>
  <si>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</si>
  <si>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</si>
  <si>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</si>
  <si>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</si>
  <si>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</si>
  <si>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</si>
  <si>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</si>
  <si>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</si>
  <si>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</si>
  <si>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</si>
  <si>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</si>
  <si>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</si>
  <si>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</si>
  <si>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</si>
  <si>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</si>
  <si>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</si>
  <si>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</si>
  <si>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</si>
  <si>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</si>
  <si>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</si>
  <si>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</si>
  <si>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</si>
  <si>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</si>
  <si>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</si>
  <si>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</si>
  <si>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</si>
  <si>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</si>
  <si>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</si>
  <si>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</si>
  <si>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</si>
  <si>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</si>
  <si>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</si>
  <si>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</si>
  <si>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</si>
  <si>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</si>
  <si>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</si>
  <si>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</si>
  <si>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</si>
  <si>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</si>
  <si>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</si>
  <si>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</si>
  <si>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</si>
  <si>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</si>
  <si>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</si>
  <si>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</si>
  <si>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</si>
  <si>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</si>
  <si>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</si>
  <si>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</si>
  <si>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</si>
  <si>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</si>
  <si>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</si>
  <si>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</si>
  <si>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</si>
  <si>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</si>
  <si>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</si>
  <si>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</si>
  <si>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</si>
  <si>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</si>
  <si>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</si>
  <si>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</si>
  <si>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</si>
  <si>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</si>
  <si>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</si>
  <si>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</si>
  <si>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</si>
  <si>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</si>
  <si>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</si>
  <si>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</si>
  <si>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</si>
  <si>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</si>
  <si>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</si>
  <si>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</si>
  <si>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</si>
  <si>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</si>
  <si>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</si>
  <si>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</si>
  <si>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</si>
  <si>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</si>
  <si>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</si>
  <si>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</si>
  <si>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</si>
  <si>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</si>
  <si>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</si>
  <si>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</si>
  <si>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</si>
  <si>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</si>
  <si>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</si>
  <si>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</si>
  <si>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</si>
  <si>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</si>
  <si>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</si>
  <si>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</si>
  <si>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</si>
  <si>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</si>
  <si>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</si>
  <si>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</si>
  <si>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</si>
  <si>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</si>
  <si>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</si>
  <si>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</si>
  <si>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</si>
  <si>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</si>
  <si>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</si>
  <si>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</si>
  <si>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</si>
  <si>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</si>
  <si>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</si>
  <si>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</si>
  <si>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</si>
  <si>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</si>
  <si>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</si>
  <si>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</si>
  <si>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</si>
  <si>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</si>
  <si>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</si>
  <si>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</si>
  <si>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</si>
  <si>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</si>
  <si>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</si>
  <si>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</si>
  <si>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</si>
  <si>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</si>
  <si>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</si>
  <si>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</si>
  <si>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</si>
  <si>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</si>
  <si>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</si>
  <si>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</si>
  <si>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</si>
  <si>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</si>
  <si>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</si>
  <si>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</si>
  <si>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</si>
  <si>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</si>
  <si>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</si>
  <si>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</si>
  <si>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</si>
  <si>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</si>
  <si>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</si>
  <si>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</si>
  <si>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</si>
  <si>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</si>
  <si>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</si>
  <si>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</si>
  <si>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</si>
  <si>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</si>
  <si>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</si>
  <si>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</si>
  <si>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</si>
  <si>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</si>
  <si>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</si>
  <si>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</si>
  <si>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</si>
  <si>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</si>
  <si>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</si>
  <si>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</si>
  <si>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</si>
  <si>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</si>
  <si>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</si>
  <si>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</si>
  <si>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</si>
  <si>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</si>
  <si>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</si>
  <si>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</si>
  <si>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</si>
  <si>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</si>
  <si>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</si>
  <si>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</si>
  <si>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</si>
  <si>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</si>
  <si>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</si>
  <si>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</si>
  <si>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</si>
  <si>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</si>
  <si>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</si>
  <si>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</si>
  <si>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</si>
  <si>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</si>
  <si>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</si>
  <si>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</si>
  <si>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</si>
  <si>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</si>
  <si>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</si>
  <si>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</si>
  <si>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</si>
  <si>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</si>
  <si>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</si>
  <si>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</si>
  <si>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</si>
  <si>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</si>
  <si>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</si>
  <si>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</si>
  <si>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</si>
  <si>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</si>
  <si>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</si>
  <si>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</si>
  <si>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</si>
  <si>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</si>
  <si>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</si>
  <si>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</si>
  <si>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</si>
  <si>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</si>
  <si>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</si>
  <si>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</si>
  <si>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</si>
  <si>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</si>
  <si>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</si>
  <si>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</si>
  <si>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</si>
  <si>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</si>
  <si>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</si>
  <si>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</si>
  <si>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</si>
  <si>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</si>
  <si>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</si>
  <si>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</si>
  <si>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</si>
  <si>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</si>
  <si>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</si>
  <si>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</si>
  <si>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</si>
  <si>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</si>
  <si>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</si>
  <si>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</si>
  <si>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</si>
  <si>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</si>
  <si>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</si>
  <si>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</si>
  <si>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</si>
  <si>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</si>
  <si>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</si>
  <si>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</si>
  <si>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</si>
  <si>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</si>
  <si>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</si>
  <si>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</si>
  <si>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</si>
  <si>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</si>
  <si>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</si>
  <si>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</si>
  <si>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</si>
  <si>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</si>
  <si>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</si>
  <si>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</si>
  <si>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</si>
  <si>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</si>
  <si>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</si>
  <si>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</si>
  <si>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</si>
  <si>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</si>
  <si>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</si>
  <si>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</si>
  <si>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</si>
  <si>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</si>
  <si>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</si>
  <si>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</si>
  <si>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</si>
  <si>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</si>
  <si>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</si>
  <si>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</si>
  <si>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</si>
  <si>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</si>
  <si>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</si>
  <si>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</si>
  <si>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</si>
  <si>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</si>
  <si>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</si>
  <si>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</si>
  <si>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</si>
  <si>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</si>
  <si>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</si>
  <si>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</si>
  <si>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</si>
  <si>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</si>
  <si>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</si>
  <si>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</si>
  <si>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</si>
  <si>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</si>
  <si>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</si>
  <si>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</si>
  <si>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</si>
  <si>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</si>
  <si>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</si>
  <si>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</si>
  <si>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</si>
  <si>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</si>
  <si>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</si>
  <si>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</si>
  <si>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</si>
  <si>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</si>
  <si>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</si>
  <si>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</si>
  <si>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</si>
  <si>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</si>
  <si>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</si>
  <si>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</si>
  <si>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</si>
  <si>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</si>
  <si>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</si>
  <si>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</si>
  <si>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</si>
  <si>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</si>
  <si>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</si>
  <si>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</si>
  <si>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</si>
  <si>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</si>
  <si>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</si>
  <si>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</si>
  <si>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</si>
  <si>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</si>
  <si>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</si>
  <si>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</si>
  <si>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</si>
  <si>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</si>
  <si>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</si>
  <si>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</si>
  <si>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</si>
  <si>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</si>
  <si>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</si>
  <si>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</si>
  <si>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</si>
  <si>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</si>
  <si>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</si>
  <si>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</si>
  <si>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</si>
  <si>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</si>
  <si>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</si>
  <si>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</si>
  <si>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</si>
  <si>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</si>
  <si>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</si>
  <si>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</si>
  <si>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</si>
  <si>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</si>
  <si>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</si>
  <si>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</si>
  <si>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</si>
  <si>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</si>
  <si>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</si>
  <si>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</si>
  <si>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</si>
  <si>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</si>
  <si>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</si>
  <si>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</si>
  <si>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</si>
  <si>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</si>
  <si>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</si>
  <si>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</si>
  <si>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</si>
  <si>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</si>
  <si>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</si>
  <si>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</si>
  <si>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</si>
  <si>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</si>
  <si>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</si>
  <si>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</si>
  <si>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</si>
  <si>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</si>
  <si>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</si>
  <si>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</si>
  <si>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</si>
  <si>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</si>
  <si>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</si>
  <si>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</si>
  <si>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</si>
  <si>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</si>
  <si>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</si>
  <si>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</si>
  <si>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</si>
  <si>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</si>
  <si>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</si>
  <si>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</si>
  <si>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</si>
  <si>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</si>
  <si>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</si>
  <si>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</si>
  <si>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</si>
  <si>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</si>
  <si>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</si>
  <si>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</si>
  <si>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</si>
  <si>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</si>
  <si>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</si>
  <si>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</si>
  <si>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</si>
  <si>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</si>
  <si>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</si>
  <si>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</si>
  <si>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</si>
  <si>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</si>
  <si>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</si>
  <si>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</si>
  <si>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</si>
  <si>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</si>
  <si>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</si>
  <si>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</si>
  <si>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</si>
  <si>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</si>
  <si>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</si>
  <si>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</si>
  <si>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</si>
  <si>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</si>
  <si>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</si>
  <si>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</si>
  <si>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</si>
  <si>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</si>
  <si>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</si>
  <si>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</si>
  <si>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</si>
  <si>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</si>
  <si>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</si>
  <si>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</si>
  <si>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</si>
  <si>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</si>
  <si>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</si>
  <si>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</si>
  <si>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</si>
  <si>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</si>
  <si>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</si>
  <si>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</si>
  <si>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</si>
  <si>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</si>
  <si>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</si>
  <si>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</si>
  <si>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</si>
  <si>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</si>
  <si>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</si>
  <si>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</si>
  <si>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</si>
  <si>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</si>
  <si>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</si>
  <si>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</si>
  <si>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</si>
  <si>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</si>
  <si>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</si>
  <si>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</si>
  <si>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</si>
  <si>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</si>
  <si>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</si>
  <si>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</si>
  <si>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</si>
  <si>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</si>
  <si>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</si>
  <si>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</si>
  <si>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</si>
  <si>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</si>
  <si>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</si>
  <si>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</si>
  <si>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</si>
  <si>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</si>
  <si>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</si>
  <si>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</si>
  <si>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</si>
  <si>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</si>
  <si>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</si>
  <si>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</si>
  <si>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</si>
  <si>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</si>
  <si>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</si>
  <si>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</si>
  <si>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</si>
  <si>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</si>
  <si>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</si>
  <si>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</si>
  <si>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</si>
  <si>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</si>
  <si>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</si>
  <si>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</si>
  <si>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</si>
  <si>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</si>
  <si>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</si>
  <si>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</si>
  <si>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</si>
  <si>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</si>
  <si>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</si>
  <si>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</si>
  <si>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</si>
  <si>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</si>
  <si>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</si>
  <si>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</si>
  <si>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</si>
  <si>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</si>
  <si>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</si>
  <si>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</si>
  <si>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</si>
  <si>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</si>
  <si>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</si>
  <si>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</si>
  <si>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</si>
  <si>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</si>
  <si>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</si>
  <si>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</si>
  <si>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</si>
  <si>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</si>
  <si>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</si>
  <si>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</si>
  <si>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</si>
  <si>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</si>
  <si>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</si>
  <si>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</si>
  <si>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</si>
  <si>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</si>
  <si>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</si>
  <si>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</si>
  <si>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</si>
  <si>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</si>
  <si>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</si>
  <si>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</si>
  <si>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</si>
  <si>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</si>
  <si>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</si>
  <si>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</si>
  <si>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</si>
  <si>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</si>
  <si>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</si>
  <si>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</si>
  <si>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</si>
  <si>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</si>
  <si>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</si>
  <si>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</si>
  <si>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</si>
  <si>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</si>
  <si>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</si>
  <si>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</si>
  <si>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</si>
  <si>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</si>
  <si>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</si>
  <si>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</si>
  <si>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</si>
  <si>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</si>
  <si>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</si>
  <si>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</si>
  <si>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</si>
  <si>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</si>
  <si>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</si>
  <si>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</si>
  <si>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</si>
  <si>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</si>
  <si>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</si>
  <si>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</si>
  <si>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</si>
  <si>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</si>
  <si>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</si>
  <si>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</si>
  <si>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</si>
  <si>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</si>
  <si>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</si>
  <si>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</si>
  <si>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</si>
  <si>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</si>
  <si>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</si>
  <si>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</si>
  <si>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</si>
  <si>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</si>
  <si>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</si>
  <si>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</si>
  <si>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</si>
  <si>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</si>
  <si>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</si>
  <si>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</si>
  <si>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</si>
  <si>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</si>
  <si>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</si>
  <si>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</si>
  <si>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</si>
  <si>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</si>
  <si>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</si>
  <si>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</si>
  <si>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</si>
  <si>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</si>
  <si>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</si>
  <si>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</si>
  <si>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</si>
  <si>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</si>
  <si>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</si>
  <si>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</si>
  <si>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</si>
  <si>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</si>
  <si>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</si>
  <si>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</si>
  <si>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</si>
  <si>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</si>
  <si>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</si>
  <si>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</si>
  <si>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</si>
  <si>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</si>
  <si>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</si>
  <si>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</si>
  <si>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</si>
  <si>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</si>
  <si>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</si>
  <si>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</si>
  <si>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</si>
  <si>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</si>
  <si>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</si>
  <si>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</si>
  <si>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</si>
  <si>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</si>
  <si>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</si>
  <si>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</si>
  <si>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</si>
  <si>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</si>
  <si>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</si>
  <si>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</si>
  <si>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</si>
  <si>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</si>
  <si>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</si>
  <si>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</si>
  <si>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</si>
  <si>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</si>
  <si>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</si>
  <si>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</si>
  <si>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</si>
  <si>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</si>
  <si>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</si>
  <si>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</si>
  <si>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</si>
  <si>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</si>
  <si>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</si>
  <si>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</si>
  <si>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</si>
  <si>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</si>
  <si>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</si>
  <si>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</si>
  <si>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</si>
  <si>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</si>
  <si>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</si>
  <si>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</si>
  <si>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</si>
  <si>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</si>
  <si>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</si>
  <si>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</si>
  <si>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</si>
  <si>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</si>
  <si>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</si>
  <si>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</si>
  <si>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</si>
  <si>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</si>
  <si>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</si>
  <si>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</si>
  <si>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</si>
  <si>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</si>
  <si>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</si>
  <si>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</si>
  <si>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</si>
  <si>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</si>
  <si>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</si>
  <si>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</si>
  <si>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</si>
  <si>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</si>
  <si>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</si>
  <si>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</si>
  <si>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</si>
  <si>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</si>
  <si>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</si>
  <si>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</si>
  <si>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</si>
  <si>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</si>
  <si>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</si>
  <si>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</si>
  <si>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</si>
  <si>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</si>
  <si>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</si>
  <si>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</si>
  <si>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</si>
  <si>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</si>
  <si>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</si>
  <si>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</si>
  <si>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</si>
  <si>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</si>
  <si>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</si>
  <si>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</si>
  <si>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</si>
  <si>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</si>
  <si>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</si>
  <si>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</si>
  <si>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</si>
  <si>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</si>
  <si>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</si>
  <si>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</si>
  <si>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</si>
  <si>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</si>
  <si>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</si>
  <si>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</si>
  <si>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</si>
  <si>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</si>
  <si>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</si>
  <si>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</si>
  <si>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</si>
  <si>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</si>
  <si>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</si>
  <si>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</si>
  <si>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</si>
  <si>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</si>
  <si>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</si>
  <si>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</si>
  <si>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</si>
  <si>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</si>
  <si>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</si>
  <si>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</si>
  <si>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</si>
  <si>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</si>
  <si>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</si>
  <si>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</si>
  <si>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</si>
  <si>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</si>
  <si>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</si>
  <si>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</si>
  <si>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</si>
  <si>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</si>
  <si>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</si>
  <si>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</si>
  <si>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</si>
  <si>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</si>
  <si>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</si>
  <si>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</si>
  <si>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</si>
  <si>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</si>
  <si>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</si>
  <si>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</si>
  <si>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</si>
  <si>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</si>
  <si>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</si>
  <si>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</si>
  <si>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</si>
  <si>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</si>
  <si>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</si>
  <si>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</si>
  <si>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</si>
  <si>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</si>
  <si>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</si>
  <si>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</si>
  <si>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</si>
  <si>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</si>
  <si>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</si>
  <si>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</si>
  <si>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</si>
  <si>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</si>
  <si>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</si>
  <si>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</si>
  <si>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</si>
  <si>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</si>
  <si>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</si>
  <si>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</si>
  <si>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</si>
  <si>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</si>
  <si>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</si>
  <si>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</si>
  <si>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</si>
  <si>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</si>
  <si>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</si>
  <si>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</si>
  <si>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</si>
  <si>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</si>
  <si>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</si>
  <si>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</si>
  <si>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</si>
  <si>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</si>
  <si>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</si>
  <si>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</si>
  <si>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</si>
  <si>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</si>
  <si>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</si>
  <si>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</si>
  <si>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</si>
  <si>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</si>
  <si>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</si>
  <si>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</si>
  <si>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</si>
  <si>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</si>
  <si>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</si>
  <si>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</si>
  <si>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</si>
  <si>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</si>
  <si>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</si>
  <si>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</si>
  <si>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</si>
  <si>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</si>
  <si>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</si>
  <si>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</si>
  <si>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</si>
  <si>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</si>
  <si>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</si>
  <si>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</si>
  <si>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</si>
  <si>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</si>
  <si>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</si>
  <si>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</si>
  <si>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</si>
  <si>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</si>
  <si>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</si>
  <si>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</si>
  <si>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</si>
  <si>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</si>
  <si>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</si>
  <si>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</si>
  <si>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</si>
  <si>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</si>
  <si>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</si>
  <si>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</si>
  <si>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</si>
  <si>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</si>
  <si>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</si>
  <si>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</si>
  <si>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</si>
  <si>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</si>
  <si>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</si>
  <si>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</si>
  <si>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</si>
  <si>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</si>
  <si>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</si>
  <si>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</si>
  <si>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</si>
  <si>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</si>
  <si>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</si>
  <si>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</si>
  <si>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</si>
  <si>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</si>
  <si>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</si>
  <si>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</si>
  <si>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</si>
  <si>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</si>
  <si>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</si>
  <si>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</si>
  <si>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</si>
  <si>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</si>
  <si>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</si>
  <si>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</si>
  <si>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</si>
  <si>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</si>
  <si>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</si>
  <si>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</si>
  <si>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</si>
  <si>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</si>
  <si>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</si>
  <si>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</si>
  <si>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</si>
  <si>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</si>
  <si>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</si>
  <si>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</si>
  <si>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</si>
  <si>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</si>
  <si>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</si>
  <si>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</si>
  <si>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</si>
  <si>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</si>
  <si>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</si>
  <si>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</si>
  <si>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</si>
  <si>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</si>
  <si>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</si>
  <si>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</si>
  <si>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</si>
  <si>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</si>
  <si>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</si>
  <si>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</si>
  <si>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</si>
  <si>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</si>
  <si>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</si>
  <si>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</si>
  <si>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</si>
  <si>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</si>
  <si>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</si>
  <si>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</si>
  <si>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</si>
  <si>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</si>
  <si>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</si>
  <si>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</si>
  <si>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</si>
  <si>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</si>
  <si>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</si>
  <si>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</si>
  <si>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</si>
  <si>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</si>
  <si>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</si>
  <si>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</si>
  <si>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</si>
  <si>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</si>
  <si>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</si>
  <si>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</si>
  <si>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</si>
  <si>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</si>
  <si>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</si>
  <si>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</si>
  <si>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</si>
  <si>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</si>
  <si>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</si>
  <si>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</si>
  <si>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</si>
  <si>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</si>
  <si>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</si>
  <si>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</si>
  <si>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</si>
  <si>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</si>
  <si>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</si>
  <si>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</si>
  <si>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</si>
  <si>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</si>
  <si>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</si>
  <si>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</si>
  <si>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</si>
  <si>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</si>
  <si>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</si>
  <si>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</si>
  <si>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</si>
  <si>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</si>
  <si>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</si>
  <si>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</si>
  <si>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</si>
  <si>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</si>
  <si>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</si>
  <si>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</si>
  <si>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</si>
  <si>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</si>
  <si>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</si>
  <si>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</si>
  <si>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</si>
  <si>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</si>
  <si>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</si>
  <si>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</si>
  <si>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</si>
  <si>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</si>
  <si>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</si>
  <si>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</si>
  <si>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</si>
  <si>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</si>
  <si>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</si>
  <si>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</si>
  <si>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</si>
  <si>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</si>
  <si>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</si>
  <si>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</si>
  <si>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</si>
  <si>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</si>
  <si>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</si>
  <si>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</si>
  <si>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</si>
  <si>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</si>
  <si>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</si>
  <si>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</si>
  <si>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</si>
  <si>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</si>
  <si>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</si>
  <si>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</si>
  <si>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</si>
  <si>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</si>
  <si>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</si>
  <si>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</si>
  <si>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</si>
  <si>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</si>
  <si>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</si>
  <si>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</si>
  <si>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</si>
  <si>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</si>
  <si>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</si>
  <si>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</si>
  <si>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</si>
  <si>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</si>
  <si>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</si>
  <si>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</si>
  <si>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</si>
  <si>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</si>
  <si>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</si>
  <si>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</si>
  <si>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</si>
  <si>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</si>
  <si>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</si>
  <si>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</si>
  <si>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</si>
  <si>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</si>
  <si>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</si>
  <si>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</si>
  <si>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</si>
  <si>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</si>
  <si>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</si>
  <si>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</si>
  <si>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</si>
  <si>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</si>
  <si>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</si>
  <si>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</si>
  <si>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</si>
  <si>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</si>
  <si>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</si>
  <si>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</si>
  <si>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</si>
  <si>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</si>
  <si>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</si>
  <si>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</si>
  <si>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</si>
  <si>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</si>
  <si>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</si>
  <si>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</si>
  <si>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</si>
  <si>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</si>
  <si>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</si>
  <si>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</si>
  <si>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</si>
  <si>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</si>
  <si>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</si>
  <si>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</si>
  <si>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</si>
  <si>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</si>
  <si>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</si>
  <si>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</si>
  <si>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</si>
  <si>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</si>
  <si>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</si>
  <si>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</si>
  <si>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</si>
  <si>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</si>
  <si>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</si>
  <si>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</si>
  <si>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</si>
  <si>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</si>
  <si>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</si>
  <si>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</si>
  <si>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</si>
  <si>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</si>
  <si>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</si>
  <si>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</si>
  <si>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</si>
  <si>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</si>
  <si>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</si>
  <si>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</si>
  <si>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</si>
  <si>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</si>
  <si>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</si>
  <si>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</si>
  <si>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</si>
  <si>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</si>
  <si>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</si>
  <si>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</si>
  <si>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</si>
  <si>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</si>
  <si>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</si>
  <si>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</si>
  <si>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</si>
  <si>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</si>
  <si>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</si>
  <si>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</si>
  <si>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</si>
  <si>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</si>
  <si>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</si>
  <si>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</si>
  <si>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</si>
  <si>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</si>
  <si>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</si>
  <si>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</si>
  <si>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</si>
  <si>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</si>
  <si>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</si>
  <si>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</si>
  <si>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</si>
  <si>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</si>
  <si>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</si>
  <si>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</si>
  <si>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</si>
  <si>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</si>
  <si>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</si>
  <si>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</si>
  <si>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</si>
  <si>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</si>
  <si>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</si>
  <si>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</si>
  <si>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</si>
  <si>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</si>
  <si>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</si>
  <si>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</si>
  <si>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</si>
  <si>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</si>
  <si>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</si>
  <si>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</si>
  <si>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</si>
  <si>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</si>
  <si>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</si>
  <si>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</si>
  <si>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</si>
  <si>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</si>
  <si>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</si>
  <si>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</si>
  <si>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</si>
  <si>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</si>
  <si>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</si>
  <si>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</si>
  <si>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</si>
  <si>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</si>
  <si>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</si>
  <si>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</si>
  <si>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</si>
  <si>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</si>
  <si>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</si>
  <si>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</si>
  <si>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</si>
  <si>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</si>
  <si>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</si>
  <si>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</si>
  <si>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</si>
  <si>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</si>
  <si>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</si>
  <si>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</si>
  <si>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</si>
  <si>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</si>
  <si>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</si>
  <si>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</si>
  <si>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</si>
  <si>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</si>
  <si>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</si>
  <si>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</si>
  <si>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</si>
  <si>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</si>
  <si>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</si>
  <si>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</si>
  <si>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</si>
  <si>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</si>
  <si>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</si>
  <si>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</si>
  <si>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</si>
  <si>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</si>
  <si>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</si>
  <si>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</si>
  <si>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</si>
  <si>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</si>
  <si>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</si>
  <si>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</si>
  <si>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</si>
  <si>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</si>
  <si>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</si>
  <si>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</si>
  <si>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</si>
  <si>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</si>
  <si>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</si>
  <si>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</si>
  <si>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</si>
  <si>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</si>
  <si>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</si>
  <si>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</si>
  <si>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</si>
  <si>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</si>
  <si>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</si>
  <si>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</si>
  <si>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</si>
  <si>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</si>
  <si>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</si>
  <si>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</si>
  <si>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</si>
  <si>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</si>
  <si>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</si>
  <si>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</si>
  <si>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</si>
  <si>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</si>
  <si>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</si>
  <si>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</si>
  <si>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</si>
  <si>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</si>
  <si>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</si>
  <si>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</si>
  <si>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</si>
  <si>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</si>
  <si>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</si>
  <si>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</si>
  <si>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</si>
  <si>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</si>
  <si>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</si>
  <si>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</si>
  <si>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</si>
  <si>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</si>
  <si>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</si>
  <si>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</si>
  <si>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</si>
  <si>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</si>
  <si>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</si>
  <si>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</si>
  <si>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</si>
  <si>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</si>
  <si>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</si>
  <si>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</si>
  <si>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</si>
  <si>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</si>
  <si>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</si>
  <si>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</si>
  <si>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</si>
  <si>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</si>
  <si>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</si>
  <si>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</si>
  <si>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</si>
  <si>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</si>
  <si>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</si>
  <si>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</si>
  <si>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</si>
  <si>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</si>
  <si>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</si>
  <si>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</si>
  <si>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</si>
  <si>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</si>
  <si>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</si>
  <si>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</si>
  <si>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</si>
  <si>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</si>
  <si>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</si>
  <si>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</si>
  <si>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</si>
  <si>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</si>
  <si>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</si>
  <si>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</si>
  <si>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</si>
  <si>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</si>
  <si>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</si>
  <si>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</si>
  <si>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</si>
  <si>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</si>
  <si>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</si>
  <si>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</si>
  <si>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</si>
  <si>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</si>
  <si>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</si>
  <si>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</si>
  <si>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</si>
  <si>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</si>
  <si>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</si>
  <si>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</si>
  <si>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</si>
  <si>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</si>
  <si>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</si>
  <si>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</si>
  <si>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</si>
  <si>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</si>
  <si>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</si>
  <si>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</si>
  <si>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</si>
  <si>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</si>
  <si>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</si>
  <si>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</si>
  <si>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</si>
  <si>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</si>
  <si>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</si>
  <si>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</si>
  <si>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</si>
  <si>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</si>
  <si>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</si>
  <si>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</si>
  <si>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</si>
  <si>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</si>
  <si>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</si>
  <si>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</si>
  <si>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</si>
  <si>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</si>
  <si>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</si>
  <si>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</si>
  <si>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</si>
  <si>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</si>
  <si>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</si>
  <si>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</si>
  <si>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</si>
  <si>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</si>
  <si>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</si>
  <si>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</si>
  <si>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</si>
  <si>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</si>
  <si>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</si>
  <si>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</si>
  <si>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</si>
  <si>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</si>
  <si>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</si>
  <si>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</si>
  <si>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</si>
  <si>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</si>
  <si>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</si>
  <si>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</si>
  <si>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</si>
  <si>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</si>
  <si>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</si>
  <si>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</si>
  <si>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</si>
  <si>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</si>
  <si>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</si>
  <si>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</si>
  <si>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</si>
  <si>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</si>
  <si>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</si>
  <si>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</si>
  <si>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</si>
  <si>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</si>
  <si>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</si>
  <si>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</si>
  <si>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</si>
  <si>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</si>
  <si>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</si>
  <si>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</si>
  <si>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</si>
  <si>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</si>
  <si>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</si>
  <si>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</si>
  <si>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</si>
  <si>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</si>
  <si>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</si>
  <si>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</si>
  <si>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</si>
  <si>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</si>
  <si>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</si>
  <si>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</si>
  <si>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</si>
  <si>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</si>
  <si>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</si>
  <si>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</si>
  <si>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</si>
  <si>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</si>
  <si>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</si>
  <si>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</si>
  <si>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</si>
  <si>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</si>
  <si>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</si>
  <si>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</si>
  <si>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</si>
  <si>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</si>
  <si>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</si>
  <si>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</si>
  <si>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</si>
  <si>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</si>
  <si>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</si>
  <si>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</si>
  <si>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</si>
  <si>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</si>
  <si>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</si>
  <si>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</si>
  <si>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</si>
  <si>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</si>
  <si>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</si>
  <si>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</si>
  <si>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</si>
  <si>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</si>
  <si>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</si>
  <si>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</si>
  <si>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</si>
  <si>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</si>
  <si>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</si>
  <si>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</si>
  <si>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</si>
  <si>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</si>
  <si>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</si>
  <si>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</si>
  <si>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</si>
  <si>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</si>
  <si>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</si>
  <si>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</si>
  <si>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</si>
  <si>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</si>
  <si>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</si>
  <si>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</si>
  <si>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</si>
  <si>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</si>
  <si>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</si>
  <si>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</si>
  <si>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</si>
  <si>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</si>
  <si>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</si>
  <si>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</si>
  <si>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</si>
  <si>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</si>
  <si>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</si>
  <si>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</si>
  <si>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</si>
  <si>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</si>
  <si>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</si>
  <si>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</si>
  <si>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</si>
  <si>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</si>
  <si>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</si>
  <si>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</si>
  <si>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</si>
  <si>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</si>
  <si>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</si>
  <si>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</si>
  <si>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</si>
  <si>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</si>
  <si>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</si>
  <si>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</si>
  <si>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</si>
  <si>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</si>
  <si>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</si>
  <si>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</si>
  <si>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</si>
  <si>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</si>
  <si>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</si>
  <si>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</si>
  <si>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</si>
  <si>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</si>
  <si>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</si>
  <si>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</si>
  <si>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</si>
  <si>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</si>
  <si>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</si>
  <si>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</si>
  <si>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</si>
  <si>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</si>
  <si>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</si>
  <si>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</si>
  <si>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</si>
  <si>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</si>
  <si>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</si>
  <si>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</si>
  <si>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</si>
  <si>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</si>
  <si>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</si>
  <si>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</si>
  <si>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</si>
  <si>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</si>
  <si>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</si>
  <si>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</si>
  <si>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</si>
  <si>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</si>
  <si>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</si>
  <si>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</si>
  <si>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</si>
  <si>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</si>
  <si>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</si>
  <si>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</si>
  <si>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</si>
  <si>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</si>
  <si>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</si>
  <si>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</si>
  <si>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</si>
  <si>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</si>
  <si>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</si>
  <si>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</si>
  <si>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</si>
  <si>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</si>
  <si>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</si>
  <si>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</si>
  <si>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</si>
  <si>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</si>
  <si>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</si>
  <si>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</si>
  <si>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</si>
  <si>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</si>
  <si>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</si>
  <si>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</si>
  <si>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</si>
  <si>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</si>
  <si>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</si>
  <si>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</si>
  <si>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</si>
  <si>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</si>
  <si>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</si>
  <si>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</si>
  <si>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</si>
  <si>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</si>
  <si>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</si>
  <si>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</si>
  <si>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</si>
  <si>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</si>
  <si>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</si>
  <si>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</si>
  <si>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</si>
  <si>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</si>
  <si>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</si>
  <si>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</si>
  <si>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</si>
  <si>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</si>
  <si>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</si>
  <si>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</si>
  <si>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</si>
  <si>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</si>
  <si>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</si>
  <si>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</si>
  <si>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</si>
  <si>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</si>
  <si>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</si>
  <si>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</si>
  <si>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</si>
  <si>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</si>
  <si>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</si>
  <si>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</si>
  <si>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</si>
  <si>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</si>
  <si>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</si>
  <si>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</si>
  <si>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</si>
  <si>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</si>
  <si>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</si>
  <si>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</si>
  <si>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</si>
  <si>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</si>
  <si>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</si>
  <si>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</si>
  <si>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</si>
  <si>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</si>
  <si>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</si>
  <si>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</si>
  <si>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</si>
  <si>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</si>
  <si>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</si>
  <si>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</si>
  <si>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</si>
  <si>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</si>
  <si>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</si>
  <si>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</si>
  <si>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</si>
  <si>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</si>
  <si>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</si>
  <si>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</si>
  <si>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</si>
  <si>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</si>
  <si>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</si>
  <si>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</si>
  <si>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</si>
  <si>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</si>
  <si>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</si>
  <si>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</si>
  <si>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</si>
  <si>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</si>
  <si>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</si>
  <si>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</si>
  <si>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</si>
  <si>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</si>
  <si>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</si>
  <si>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</si>
  <si>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</si>
  <si>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</si>
  <si>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</si>
  <si>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</si>
  <si>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</si>
  <si>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</si>
  <si>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</si>
  <si>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</si>
  <si>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</si>
  <si>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</si>
  <si>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</si>
  <si>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</si>
  <si>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</si>
  <si>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</si>
  <si>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</si>
  <si>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</si>
  <si>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</si>
  <si>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</si>
  <si>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</si>
  <si>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</si>
  <si>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</si>
  <si>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</si>
  <si>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</si>
  <si>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</si>
  <si>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</si>
  <si>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</si>
  <si>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</si>
  <si>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</si>
  <si>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</si>
  <si>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</si>
  <si>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</si>
  <si>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</si>
  <si>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</si>
  <si>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</si>
  <si>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</si>
  <si>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</si>
  <si>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</si>
  <si>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</si>
  <si>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</si>
  <si>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</si>
  <si>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</si>
  <si>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</si>
  <si>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</si>
  <si>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</si>
  <si>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</si>
  <si>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</si>
  <si>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</si>
  <si>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</si>
  <si>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</si>
  <si>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</si>
  <si>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</si>
  <si>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</si>
  <si>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</si>
  <si>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</si>
  <si>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</si>
  <si>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</si>
  <si>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</si>
  <si>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</si>
  <si>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</si>
  <si>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</si>
  <si>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</si>
  <si>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</si>
  <si>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</si>
  <si>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</si>
  <si>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</si>
  <si>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</si>
  <si>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</si>
  <si>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</si>
  <si>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</si>
  <si>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</si>
  <si>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</si>
  <si>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</si>
  <si>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</si>
  <si>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</si>
  <si>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</si>
  <si>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</si>
  <si>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</si>
  <si>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</si>
  <si>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</si>
  <si>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</si>
  <si>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</si>
  <si>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</si>
  <si>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</si>
  <si>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</si>
  <si>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</si>
  <si>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</si>
  <si>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</si>
  <si>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</si>
  <si>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</si>
  <si>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</si>
  <si>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</si>
  <si>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</si>
  <si>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</si>
  <si>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</si>
  <si>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</si>
  <si>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</si>
  <si>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</si>
  <si>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</si>
  <si>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</si>
  <si>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</si>
  <si>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</si>
  <si>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</si>
  <si>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</si>
  <si>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</si>
  <si>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</si>
  <si>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</si>
  <si>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</si>
  <si>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</si>
  <si>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</si>
  <si>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</si>
  <si>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</si>
  <si>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</si>
  <si>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</si>
  <si>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</si>
  <si>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</si>
  <si>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</si>
  <si>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</si>
  <si>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</si>
  <si>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</si>
  <si>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</si>
  <si>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</si>
  <si>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</si>
  <si>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</si>
  <si>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</si>
  <si>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</si>
  <si>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</si>
  <si>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</si>
  <si>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</si>
  <si>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</si>
  <si>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</si>
  <si>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</si>
  <si>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</si>
  <si>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</si>
  <si>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</si>
  <si>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</si>
  <si>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</si>
  <si>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</si>
  <si>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</si>
  <si>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</si>
  <si>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</si>
  <si>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</si>
  <si>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</si>
  <si>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</si>
  <si>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</si>
  <si>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</si>
  <si>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</si>
  <si>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</si>
  <si>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</si>
  <si>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</si>
  <si>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</si>
  <si>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</si>
  <si>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</si>
  <si>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</si>
  <si>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</si>
  <si>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</si>
  <si>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</si>
  <si>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</si>
  <si>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</si>
  <si>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</si>
  <si>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</si>
  <si>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</si>
  <si>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</si>
  <si>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</si>
  <si>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</si>
  <si>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</si>
  <si>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</si>
  <si>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</si>
  <si>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</si>
  <si>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</si>
  <si>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</si>
  <si>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</si>
  <si>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</si>
  <si>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</si>
  <si>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</si>
  <si>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</si>
  <si>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</si>
  <si>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</si>
  <si>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</si>
  <si>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</si>
  <si>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</si>
  <si>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</si>
  <si>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</si>
  <si>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</si>
  <si>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</si>
  <si>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</si>
  <si>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</si>
  <si>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</si>
  <si>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</si>
  <si>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</si>
  <si>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</si>
  <si>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</si>
  <si>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</si>
  <si>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</si>
  <si>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</si>
  <si>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</si>
  <si>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</si>
  <si>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</si>
  <si>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</si>
  <si>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</si>
  <si>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</si>
  <si>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</si>
  <si>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</si>
  <si>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</si>
  <si>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</si>
  <si>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</si>
  <si>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</si>
  <si>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</si>
  <si>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</si>
  <si>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</si>
  <si>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</si>
  <si>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</si>
  <si>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</si>
  <si>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</si>
  <si>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</si>
  <si>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</si>
  <si>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</si>
  <si>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</si>
  <si>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</si>
  <si>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</si>
  <si>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</si>
  <si>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</si>
  <si>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</si>
  <si>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</si>
  <si>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</si>
  <si>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</si>
  <si>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</si>
  <si>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</si>
  <si>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</si>
  <si>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</si>
  <si>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</si>
  <si>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</si>
  <si>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</si>
  <si>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</si>
  <si>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</si>
  <si>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</si>
  <si>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</si>
  <si>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</si>
  <si>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</si>
  <si>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</si>
  <si>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</si>
  <si>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</si>
  <si>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</si>
  <si>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</si>
  <si>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</si>
  <si>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</si>
  <si>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</si>
  <si>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</si>
  <si>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</si>
  <si>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</si>
  <si>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</si>
  <si>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</si>
  <si>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</si>
  <si>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</si>
  <si>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</si>
  <si>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</si>
  <si>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</si>
  <si>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</si>
  <si>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</si>
  <si>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</si>
  <si>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</si>
  <si>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</si>
  <si>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</si>
  <si>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</si>
  <si>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</si>
  <si>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</si>
  <si>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</si>
  <si>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</si>
  <si>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</si>
  <si>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</si>
  <si>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</si>
  <si>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</si>
  <si>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</si>
  <si>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</si>
  <si>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</si>
  <si>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</si>
  <si>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</si>
  <si>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</si>
  <si>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</si>
  <si>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</si>
  <si>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</si>
  <si>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</si>
  <si>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</si>
  <si>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</si>
  <si>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</si>
  <si>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</si>
  <si>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</si>
  <si>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</si>
  <si>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</si>
  <si>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</si>
  <si>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</si>
  <si>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</si>
  <si>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</si>
  <si>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</si>
  <si>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</si>
  <si>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</si>
  <si>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</si>
  <si>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</si>
  <si>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</si>
  <si>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</si>
  <si>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</si>
  <si>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</si>
  <si>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</si>
  <si>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</si>
  <si>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</si>
  <si>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</si>
  <si>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</si>
  <si>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</si>
  <si>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</si>
  <si>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</si>
  <si>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</si>
  <si>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</si>
  <si>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</si>
  <si>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</si>
  <si>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</si>
  <si>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</si>
  <si>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</si>
  <si>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</si>
  <si>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</si>
  <si>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</si>
  <si>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</si>
  <si>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</si>
  <si>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</si>
  <si>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</si>
  <si>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</si>
  <si>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</si>
  <si>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</si>
  <si>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</si>
  <si>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</si>
  <si>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</si>
  <si>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</si>
  <si>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</si>
  <si>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</si>
  <si>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</si>
  <si>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</si>
  <si>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</si>
  <si>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</si>
  <si>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</si>
  <si>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</si>
  <si>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</si>
  <si>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</si>
  <si>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</si>
  <si>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</si>
  <si>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</si>
  <si>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</si>
  <si>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</si>
  <si>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</si>
  <si>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</si>
  <si>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</si>
  <si>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</si>
  <si>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</si>
  <si>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</si>
  <si>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</si>
  <si>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</si>
  <si>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</si>
  <si>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</si>
  <si>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</si>
  <si>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</si>
  <si>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</si>
  <si>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</si>
  <si>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</si>
  <si>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</si>
  <si>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</si>
  <si>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</si>
  <si>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</si>
  <si>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</si>
  <si>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</si>
  <si>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</si>
  <si>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</si>
  <si>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</si>
  <si>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</si>
  <si>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</si>
  <si>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</si>
  <si>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</si>
  <si>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</si>
  <si>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</si>
  <si>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</si>
  <si>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</si>
  <si>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</si>
  <si>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</si>
  <si>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</si>
  <si>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</si>
  <si>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</si>
  <si>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</si>
  <si>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</si>
  <si>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</si>
  <si>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</si>
  <si>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</si>
  <si>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</si>
  <si>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</si>
  <si>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</si>
  <si>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</si>
  <si>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</si>
  <si>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</si>
  <si>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</si>
  <si>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</si>
  <si>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</si>
  <si>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</si>
  <si>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</si>
  <si>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</si>
  <si>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</si>
  <si>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</si>
  <si>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</si>
  <si>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</si>
  <si>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</si>
  <si>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</si>
  <si>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</si>
  <si>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</si>
  <si>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</si>
  <si>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</si>
  <si>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</si>
  <si>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</si>
  <si>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</si>
  <si>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</si>
  <si>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</si>
  <si>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</si>
  <si>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</si>
  <si>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</si>
  <si>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</si>
  <si>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</si>
  <si>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</si>
  <si>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</si>
  <si>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</si>
  <si>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</si>
  <si>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</si>
  <si>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</si>
  <si>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</si>
  <si>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</si>
  <si>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</si>
  <si>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</si>
  <si>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</si>
  <si>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</si>
  <si>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</si>
  <si>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</si>
  <si>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</si>
  <si>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</si>
  <si>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</si>
  <si>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</si>
  <si>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</si>
  <si>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</si>
  <si>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</si>
  <si>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</si>
  <si>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</si>
  <si>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</si>
  <si>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</si>
  <si>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</si>
  <si>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</si>
  <si>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</si>
  <si>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</si>
  <si>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</si>
  <si>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</si>
  <si>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</si>
  <si>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</si>
  <si>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</si>
  <si>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</si>
  <si>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</si>
  <si>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</si>
  <si>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</si>
  <si>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</si>
  <si>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</si>
  <si>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</si>
  <si>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</si>
  <si>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</si>
  <si>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</si>
  <si>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</si>
  <si>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</si>
  <si>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</si>
  <si>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</si>
  <si>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</si>
  <si>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</si>
  <si>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</si>
  <si>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</si>
  <si>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</si>
  <si>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</si>
  <si>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</si>
  <si>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</si>
  <si>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</si>
  <si>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</si>
  <si>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</si>
  <si>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</si>
  <si>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</si>
  <si>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</si>
  <si>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</si>
  <si>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</si>
  <si>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</si>
  <si>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</si>
  <si>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</si>
  <si>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</si>
  <si>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</si>
  <si>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</si>
  <si>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</si>
  <si>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</si>
  <si>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</si>
  <si>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</si>
  <si>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</si>
  <si>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</si>
  <si>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</si>
  <si>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</si>
  <si>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</si>
  <si>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</si>
  <si>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</si>
  <si>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</si>
  <si>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</si>
  <si>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</si>
  <si>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</si>
  <si>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</si>
  <si>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</si>
  <si>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</si>
  <si>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</si>
  <si>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</si>
  <si>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</si>
  <si>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</si>
  <si>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</si>
  <si>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</si>
  <si>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</si>
  <si>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</si>
  <si>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</si>
  <si>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</si>
  <si>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</si>
  <si>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</si>
  <si>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</si>
  <si>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</si>
  <si>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</si>
  <si>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</si>
  <si>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</si>
  <si>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</si>
  <si>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</si>
  <si>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</si>
  <si>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</si>
  <si>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</si>
  <si>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</si>
  <si>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</si>
  <si>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</si>
  <si>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</si>
  <si>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</si>
  <si>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</si>
  <si>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</si>
  <si>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</si>
  <si>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</si>
  <si>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</si>
  <si>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</si>
  <si>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</si>
  <si>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</si>
  <si>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</si>
  <si>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</si>
  <si>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</si>
  <si>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</si>
  <si>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</si>
  <si>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</si>
  <si>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</si>
  <si>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</si>
  <si>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</si>
  <si>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</si>
  <si>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</si>
  <si>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</si>
  <si>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</si>
  <si>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</si>
  <si>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</si>
  <si>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</si>
  <si>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</si>
  <si>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</si>
  <si>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</si>
  <si>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</si>
  <si>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</si>
  <si>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</si>
  <si>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</si>
  <si>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</si>
  <si>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</si>
  <si>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</si>
  <si>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</si>
  <si>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</si>
  <si>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</si>
  <si>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</si>
  <si>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</si>
  <si>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</si>
  <si>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</si>
  <si>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</si>
  <si>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</si>
  <si>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</si>
  <si>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</si>
  <si>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</si>
  <si>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</si>
  <si>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</si>
  <si>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</si>
  <si>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</si>
  <si>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</si>
  <si>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</si>
  <si>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</si>
  <si>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</si>
  <si>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</si>
  <si>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</si>
  <si>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</si>
  <si>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</si>
  <si>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</si>
  <si>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</si>
  <si>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</si>
  <si>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</si>
  <si>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</si>
  <si>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</si>
  <si>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</si>
  <si>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</si>
  <si>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</si>
  <si>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</si>
  <si>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</si>
  <si>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</si>
  <si>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</si>
  <si>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</si>
  <si>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</si>
  <si>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</si>
  <si>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</si>
  <si>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</si>
  <si>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</si>
  <si>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</si>
  <si>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</si>
  <si>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</si>
  <si>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</si>
  <si>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</si>
  <si>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</si>
  <si>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</si>
  <si>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</si>
  <si>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</si>
  <si>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</si>
  <si>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</si>
  <si>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</si>
  <si>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</si>
  <si>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</si>
  <si>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</si>
  <si>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</si>
  <si>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</si>
  <si>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</si>
  <si>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</si>
  <si>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</si>
  <si>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</si>
  <si>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</si>
  <si>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</si>
  <si>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</si>
  <si>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</si>
  <si>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</si>
  <si>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</si>
  <si>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</si>
  <si>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</si>
  <si>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</si>
  <si>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</si>
  <si>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</si>
  <si>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</si>
  <si>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</si>
  <si>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</si>
  <si>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</si>
  <si>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</si>
  <si>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</si>
  <si>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</si>
  <si>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</si>
  <si>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</si>
  <si>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</si>
  <si>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</si>
  <si>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</si>
  <si>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</si>
  <si>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</si>
  <si>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</si>
  <si>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</si>
  <si>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</si>
  <si>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</si>
  <si>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</si>
  <si>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</si>
  <si>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</si>
  <si>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</si>
  <si>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</si>
  <si>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</si>
  <si>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</si>
  <si>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</si>
  <si>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</si>
  <si>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</si>
  <si>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</si>
  <si>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</si>
  <si>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</si>
  <si>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</si>
  <si>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</si>
  <si>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</si>
  <si>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</si>
  <si>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</si>
  <si>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</si>
  <si>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</si>
  <si>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</si>
  <si>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</si>
  <si>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</si>
  <si>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</si>
  <si>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</si>
  <si>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</si>
  <si>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</si>
  <si>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</si>
  <si>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</si>
  <si>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</si>
  <si>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</si>
  <si>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</si>
  <si>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</si>
  <si>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</si>
  <si>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</si>
  <si>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</si>
  <si>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</si>
  <si>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</si>
  <si>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</si>
  <si>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</si>
  <si>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</si>
  <si>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</si>
  <si>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</si>
  <si>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</si>
  <si>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</si>
  <si>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</si>
  <si>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</si>
  <si>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</si>
  <si>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</si>
  <si>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</si>
  <si>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</si>
  <si>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</si>
  <si>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</si>
  <si>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</si>
  <si>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</si>
  <si>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</si>
  <si>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</si>
  <si>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</si>
  <si>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</si>
  <si>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</si>
  <si>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</si>
  <si>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</si>
  <si>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</si>
  <si>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</si>
  <si>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</si>
  <si>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</si>
  <si>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</si>
  <si>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</si>
  <si>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</si>
  <si>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</si>
  <si>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</si>
  <si>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</si>
  <si>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</si>
  <si>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</si>
  <si>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</si>
  <si>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</si>
  <si>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</si>
  <si>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</si>
  <si>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</si>
  <si>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</si>
  <si>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</si>
  <si>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</si>
  <si>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</si>
  <si>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</si>
  <si>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</si>
  <si>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</si>
  <si>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</si>
  <si>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</si>
  <si>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</si>
  <si>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</si>
  <si>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</si>
  <si>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</si>
  <si>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</si>
  <si>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</si>
  <si>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</si>
  <si>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</si>
  <si>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</si>
  <si>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</si>
  <si>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</si>
  <si>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</si>
  <si>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</si>
  <si>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</si>
  <si>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</si>
  <si>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</si>
  <si>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</si>
  <si>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</si>
  <si>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</si>
  <si>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</si>
  <si>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</si>
  <si>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</si>
  <si>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</si>
  <si>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</si>
  <si>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</si>
  <si>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</si>
  <si>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</si>
  <si>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</si>
  <si>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</si>
  <si>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</si>
  <si>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</si>
  <si>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</si>
  <si>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</si>
  <si>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</si>
  <si>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</si>
  <si>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</si>
  <si>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</si>
  <si>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</si>
  <si>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</si>
  <si>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</si>
  <si>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</si>
  <si>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</si>
  <si>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</si>
  <si>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</si>
  <si>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</si>
  <si>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</si>
  <si>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</si>
  <si>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</si>
  <si>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</si>
  <si>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</si>
  <si>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</si>
  <si>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</si>
  <si>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</si>
  <si>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</si>
  <si>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</si>
  <si>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</si>
  <si>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</si>
  <si>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</si>
  <si>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</si>
  <si>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</si>
  <si>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</si>
  <si>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</si>
  <si>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</si>
  <si>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</si>
  <si>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</si>
  <si>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</si>
  <si>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</si>
  <si>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</si>
  <si>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</si>
  <si>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</si>
  <si>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</si>
  <si>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</si>
  <si>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</si>
  <si>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</si>
  <si>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</si>
  <si>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</si>
  <si>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</si>
  <si>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</si>
  <si>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</si>
  <si>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</si>
  <si>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</si>
  <si>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</si>
  <si>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</si>
  <si>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</si>
  <si>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</si>
  <si>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</si>
  <si>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</si>
  <si>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</si>
  <si>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</si>
  <si>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</si>
  <si>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</si>
  <si>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</si>
  <si>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</si>
  <si>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</si>
  <si>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</si>
  <si>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</si>
  <si>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</si>
  <si>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</si>
  <si>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</si>
  <si>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</si>
  <si>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</si>
  <si>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</si>
  <si>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</si>
  <si>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</si>
  <si>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</si>
  <si>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</si>
  <si>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</si>
  <si>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</si>
  <si>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</si>
  <si>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</si>
  <si>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</si>
  <si>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</si>
  <si>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</si>
  <si>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</si>
  <si>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</si>
  <si>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</si>
  <si>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</si>
  <si>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</si>
  <si>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</si>
  <si>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</si>
  <si>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</si>
  <si>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</si>
  <si>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</si>
  <si>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</si>
  <si>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</si>
  <si>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</si>
  <si>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</si>
  <si>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</si>
  <si>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</si>
  <si>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</si>
  <si>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</si>
  <si>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</si>
  <si>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</si>
  <si>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</si>
  <si>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</si>
  <si>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</si>
  <si>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</si>
  <si>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</si>
  <si>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</si>
  <si>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</si>
  <si>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</si>
  <si>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</si>
  <si>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</si>
  <si>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</si>
  <si>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</si>
  <si>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</si>
  <si>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</si>
  <si>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</si>
  <si>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</si>
  <si>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</si>
  <si>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</si>
  <si>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</si>
  <si>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</si>
  <si>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</si>
  <si>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</si>
  <si>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</si>
  <si>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</si>
  <si>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</si>
  <si>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</si>
  <si>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</si>
  <si>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</si>
  <si>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</si>
  <si>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</si>
  <si>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</si>
  <si>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</si>
  <si>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</si>
  <si>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</si>
  <si>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</si>
  <si>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</si>
  <si>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</si>
  <si>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</si>
  <si>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</si>
  <si>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</si>
  <si>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</si>
  <si>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</si>
  <si>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</si>
  <si>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</si>
  <si>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</si>
  <si>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</si>
  <si>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</si>
  <si>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</si>
  <si>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</si>
  <si>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</si>
  <si>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</si>
  <si>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</si>
  <si>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</si>
  <si>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</si>
  <si>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</si>
  <si>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</si>
  <si>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</si>
  <si>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</si>
  <si>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</si>
  <si>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</si>
  <si>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</si>
  <si>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</si>
  <si>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</si>
  <si>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</si>
  <si>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</si>
  <si>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</si>
  <si>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</si>
  <si>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</si>
  <si>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</si>
  <si>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</si>
  <si>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</si>
  <si>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</si>
  <si>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</si>
  <si>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</si>
  <si>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</si>
  <si>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</si>
  <si>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</si>
  <si>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</si>
  <si>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</si>
  <si>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</si>
  <si>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</si>
  <si>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</si>
  <si>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</si>
  <si>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</si>
  <si>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</si>
  <si>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</si>
  <si>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</si>
  <si>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</si>
  <si>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</si>
  <si>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</si>
  <si>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</si>
  <si>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</si>
  <si>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</si>
  <si>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</si>
  <si>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</si>
  <si>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</si>
  <si>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</si>
  <si>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</si>
  <si>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</si>
  <si>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</si>
  <si>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</si>
  <si>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</si>
  <si>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</si>
  <si>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</si>
  <si>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</si>
  <si>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</si>
  <si>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</si>
  <si>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</si>
  <si>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</si>
  <si>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</si>
  <si>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</si>
  <si>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</si>
  <si>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</si>
  <si>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</si>
  <si>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</si>
  <si>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</si>
  <si>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</si>
  <si>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</si>
  <si>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</si>
  <si>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</si>
  <si>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</si>
  <si>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</si>
  <si>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</si>
  <si>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</si>
  <si>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</si>
  <si>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</si>
  <si>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</si>
  <si>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</si>
  <si>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</si>
  <si>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</si>
  <si>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</si>
  <si>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</si>
  <si>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</si>
  <si>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</si>
  <si>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</si>
  <si>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</si>
  <si>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</si>
  <si>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</si>
  <si>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</si>
  <si>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</si>
  <si>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</si>
  <si>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</si>
  <si>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</si>
  <si>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</si>
  <si>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</si>
  <si>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</si>
  <si>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</si>
  <si>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</si>
  <si>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</si>
  <si>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</si>
  <si>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</si>
  <si>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</si>
  <si>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</si>
  <si>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</si>
  <si>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</si>
  <si>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</si>
  <si>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</si>
  <si>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</si>
  <si>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</si>
  <si>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</si>
  <si>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</si>
  <si>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</si>
  <si>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</si>
  <si>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</si>
  <si>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</si>
  <si>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</si>
  <si>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</si>
  <si>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</si>
  <si>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</si>
  <si>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</si>
  <si>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</si>
  <si>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</si>
  <si>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</si>
  <si>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</si>
  <si>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</si>
  <si>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</si>
  <si>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</si>
  <si>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</si>
  <si>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</si>
  <si>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</si>
  <si>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</si>
  <si>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</si>
  <si>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</si>
  <si>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</si>
  <si>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</si>
  <si>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</si>
  <si>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</si>
  <si>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</si>
  <si>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</si>
  <si>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</si>
  <si>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</si>
  <si>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</si>
  <si>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</si>
  <si>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</si>
  <si>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</si>
  <si>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</si>
  <si>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</si>
  <si>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</si>
  <si>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</si>
  <si>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</si>
  <si>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</si>
  <si>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</si>
  <si>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</si>
  <si>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</si>
  <si>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</si>
  <si>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</si>
  <si>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</si>
  <si>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</si>
  <si>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</si>
  <si>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</si>
  <si>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</si>
  <si>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</si>
  <si>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</si>
  <si>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</si>
  <si>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</si>
  <si>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</si>
  <si>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</si>
  <si>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</si>
  <si>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</si>
  <si>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</si>
  <si>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</si>
  <si>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</si>
  <si>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</si>
  <si>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</si>
  <si>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</si>
  <si>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</si>
  <si>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</si>
  <si>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</si>
  <si>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</si>
  <si>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</si>
  <si>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</si>
  <si>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</si>
  <si>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</si>
  <si>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</si>
  <si>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</si>
  <si>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</si>
  <si>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</si>
  <si>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</si>
  <si>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</si>
  <si>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</si>
  <si>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</si>
  <si>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</si>
  <si>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</si>
  <si>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</si>
  <si>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</si>
  <si>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</si>
  <si>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</si>
  <si>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</si>
  <si>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</si>
  <si>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</si>
  <si>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</si>
  <si>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</si>
  <si>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</si>
  <si>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</si>
  <si>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</si>
  <si>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</si>
  <si>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</si>
  <si>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</si>
  <si>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</si>
  <si>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</si>
  <si>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</si>
  <si>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</si>
  <si>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</si>
  <si>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</si>
  <si>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</si>
  <si>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</si>
  <si>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</si>
  <si>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</si>
  <si>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</si>
  <si>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</si>
  <si>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</si>
  <si>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</si>
  <si>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</si>
  <si>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</si>
  <si>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</si>
  <si>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</si>
  <si>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</si>
  <si>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</si>
  <si>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</si>
  <si>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</si>
  <si>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</si>
  <si>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</si>
  <si>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</si>
  <si>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</si>
  <si>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</si>
  <si>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</si>
  <si>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</si>
  <si>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</si>
  <si>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</si>
  <si>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</si>
  <si>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</si>
  <si>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</si>
  <si>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</si>
  <si>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</si>
  <si>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</si>
  <si>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</si>
  <si>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</si>
  <si>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</si>
  <si>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</si>
  <si>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</si>
  <si>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</si>
  <si>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</si>
  <si>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</si>
  <si>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</si>
  <si>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</si>
  <si>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</si>
  <si>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</si>
  <si>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</si>
  <si>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</si>
  <si>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</si>
  <si>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</si>
  <si>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</si>
  <si>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</si>
  <si>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</si>
  <si>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</si>
  <si>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</si>
  <si>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</si>
  <si>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</si>
  <si>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</si>
  <si>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</si>
  <si>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</si>
  <si>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</si>
  <si>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</si>
  <si>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</si>
  <si>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</si>
  <si>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</si>
  <si>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</si>
  <si>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</si>
  <si>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</si>
  <si>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</si>
  <si>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</si>
  <si>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</si>
  <si>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</si>
  <si>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</si>
  <si>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</si>
  <si>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</si>
  <si>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</si>
  <si>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</si>
  <si>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</si>
  <si>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</si>
  <si>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</si>
  <si>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</si>
  <si>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</si>
  <si>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</si>
  <si>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</si>
  <si>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</si>
  <si>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</si>
  <si>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</si>
  <si>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</si>
  <si>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</si>
  <si>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</si>
  <si>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</si>
  <si>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</si>
  <si>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</si>
  <si>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</si>
  <si>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</si>
  <si>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</si>
  <si>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</si>
  <si>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</si>
  <si>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</si>
  <si>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</si>
  <si>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</si>
  <si>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</si>
  <si>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</si>
  <si>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</si>
  <si>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</si>
  <si>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</si>
  <si>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</si>
  <si>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</si>
  <si>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</si>
  <si>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</si>
  <si>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</si>
  <si>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</si>
  <si>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</si>
  <si>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</si>
  <si>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</si>
  <si>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</si>
  <si>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</si>
  <si>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</si>
  <si>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</si>
  <si>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</si>
  <si>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</si>
  <si>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</si>
  <si>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</si>
  <si>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</si>
  <si>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</si>
  <si>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</si>
  <si>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</si>
  <si>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</si>
  <si>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</si>
  <si>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</si>
  <si>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</si>
  <si>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</si>
  <si>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</si>
  <si>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</si>
  <si>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</si>
  <si>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</si>
  <si>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</si>
  <si>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</si>
  <si>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</si>
  <si>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</si>
  <si>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</si>
  <si>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</si>
  <si>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</si>
  <si>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</si>
  <si>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</si>
  <si>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</si>
  <si>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</si>
  <si>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</si>
  <si>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</si>
  <si>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</si>
  <si>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</si>
  <si>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</si>
  <si>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</si>
  <si>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</si>
  <si>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</si>
  <si>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</si>
  <si>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</si>
  <si>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</si>
  <si>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</si>
  <si>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</si>
  <si>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</si>
  <si>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</si>
  <si>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</si>
  <si>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</si>
  <si>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</si>
  <si>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</si>
  <si>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</si>
  <si>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</si>
  <si>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</si>
  <si>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</si>
  <si>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</si>
  <si>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</si>
  <si>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</si>
  <si>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</si>
  <si>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</si>
  <si>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</si>
  <si>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</si>
  <si>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</si>
  <si>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</si>
  <si>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</si>
  <si>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</si>
  <si>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</si>
  <si>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</si>
  <si>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</si>
  <si>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</si>
  <si>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</si>
  <si>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</si>
  <si>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</si>
  <si>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</si>
  <si>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</si>
  <si>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</si>
  <si>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</si>
  <si>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</si>
  <si>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</si>
  <si>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</si>
  <si>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</si>
  <si>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</si>
  <si>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</si>
  <si>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</si>
  <si>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</si>
  <si>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</si>
  <si>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</si>
  <si>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</si>
  <si>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</si>
  <si>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</si>
  <si>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</si>
  <si>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</si>
  <si>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</si>
  <si>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</si>
  <si>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</si>
  <si>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</si>
  <si>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</si>
  <si>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</si>
  <si>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</si>
  <si>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</si>
  <si>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</si>
  <si>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</si>
  <si>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</si>
  <si>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</si>
  <si>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</si>
  <si>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</si>
  <si>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</si>
  <si>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</si>
  <si>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</si>
  <si>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</si>
  <si>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</si>
  <si>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</si>
  <si>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</si>
  <si>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</si>
  <si>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</si>
  <si>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</si>
  <si>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</si>
  <si>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</si>
  <si>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</si>
  <si>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</si>
  <si>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</si>
  <si>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</si>
  <si>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</si>
  <si>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</si>
  <si>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</si>
  <si>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</si>
  <si>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</si>
  <si>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</si>
  <si>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</si>
  <si>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</si>
  <si>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</si>
  <si>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</si>
  <si>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</si>
  <si>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</si>
  <si>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</si>
  <si>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</si>
  <si>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</si>
  <si>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</si>
  <si>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</si>
  <si>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</si>
  <si>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</si>
  <si>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</si>
  <si>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</si>
  <si>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</si>
  <si>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</si>
  <si>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</si>
  <si>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</si>
  <si>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</si>
  <si>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</si>
  <si>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</si>
  <si>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</si>
  <si>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</si>
  <si>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</si>
  <si>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</si>
  <si>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</si>
  <si>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</si>
  <si>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</si>
  <si>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</si>
  <si>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</si>
  <si>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</si>
  <si>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</si>
  <si>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</si>
  <si>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</si>
  <si>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</si>
  <si>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</si>
  <si>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</si>
  <si>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</si>
  <si>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</si>
  <si>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</si>
  <si>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</si>
  <si>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</si>
  <si>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</si>
  <si>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</si>
  <si>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</si>
  <si>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</si>
  <si>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</si>
  <si>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</si>
  <si>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</si>
  <si>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</si>
  <si>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</si>
  <si>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</si>
  <si>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</si>
  <si>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</si>
  <si>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</si>
  <si>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</si>
  <si>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</si>
  <si>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</si>
  <si>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</si>
  <si>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</si>
  <si>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</si>
  <si>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</si>
  <si>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</si>
  <si>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</si>
  <si>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</si>
  <si>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</si>
  <si>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</si>
  <si>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</si>
  <si>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</si>
  <si>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</si>
  <si>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</si>
  <si>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</si>
  <si>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</si>
  <si>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</si>
  <si>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</si>
  <si>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</si>
  <si>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</si>
  <si>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</si>
  <si>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</si>
  <si>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</si>
  <si>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</si>
  <si>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</si>
  <si>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</si>
  <si>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</si>
  <si>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</si>
  <si>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</si>
  <si>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</si>
  <si>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</si>
  <si>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</si>
  <si>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</si>
  <si>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</si>
  <si>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</si>
  <si>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</si>
  <si>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</si>
  <si>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</si>
  <si>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</si>
  <si>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</si>
  <si>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</si>
  <si>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</si>
  <si>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</si>
  <si>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</si>
  <si>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</si>
  <si>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</si>
  <si>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</si>
  <si>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</si>
  <si>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</si>
  <si>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</si>
  <si>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</si>
  <si>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</si>
  <si>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</si>
  <si>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</si>
  <si>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</si>
  <si>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</si>
  <si>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</si>
  <si>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</si>
  <si>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</si>
  <si>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</si>
  <si>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</si>
  <si>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</si>
  <si>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</si>
  <si>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</si>
  <si>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</si>
  <si>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</si>
  <si>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</si>
  <si>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</si>
  <si>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</si>
  <si>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</si>
  <si>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</si>
  <si>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</si>
  <si>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</si>
  <si>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</si>
  <si>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</si>
  <si>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</si>
  <si>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</si>
  <si>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</si>
  <si>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</si>
  <si>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</si>
  <si>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</si>
  <si>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</si>
  <si>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</si>
  <si>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</si>
  <si>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</si>
  <si>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</si>
  <si>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</si>
  <si>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</si>
  <si>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</si>
  <si>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</si>
  <si>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</si>
  <si>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</si>
  <si>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</si>
  <si>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</si>
  <si>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</si>
  <si>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</si>
  <si>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</si>
  <si>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</si>
  <si>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</si>
  <si>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</si>
  <si>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</si>
  <si>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</si>
  <si>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</si>
  <si>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</si>
  <si>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</si>
  <si>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</si>
  <si>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</si>
  <si>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</si>
  <si>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</si>
  <si>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</si>
  <si>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</si>
  <si>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</si>
  <si>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</si>
  <si>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</si>
  <si>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</si>
  <si>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</si>
  <si>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</si>
  <si>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</si>
  <si>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</si>
  <si>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</si>
  <si>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</si>
  <si>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</si>
  <si>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</si>
  <si>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</si>
  <si>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</si>
  <si>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</si>
  <si>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</si>
  <si>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</si>
  <si>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</si>
  <si>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</si>
  <si>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</si>
  <si>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</si>
  <si>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</si>
  <si>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</si>
  <si>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</si>
  <si>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</si>
  <si>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</si>
  <si>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</si>
  <si>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</si>
  <si>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</si>
  <si>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</si>
  <si>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</si>
  <si>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</si>
  <si>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</si>
  <si>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</si>
  <si>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</si>
  <si>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</si>
  <si>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</si>
  <si>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</si>
  <si>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</si>
  <si>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</si>
  <si>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</si>
  <si>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</si>
  <si>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</si>
  <si>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</si>
  <si>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</si>
  <si>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</si>
  <si>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</si>
  <si>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</si>
  <si>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</si>
  <si>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</si>
  <si>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</si>
  <si>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</si>
  <si>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</si>
  <si>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</si>
  <si>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</si>
  <si>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</si>
  <si>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</si>
  <si>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</si>
  <si>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</si>
  <si>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</si>
  <si>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</si>
  <si>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</si>
  <si>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</si>
  <si>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</si>
  <si>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</si>
  <si>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</si>
  <si>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</si>
  <si>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</si>
  <si>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</si>
  <si>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</si>
  <si>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</si>
  <si>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</si>
  <si>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</si>
  <si>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</si>
  <si>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</si>
  <si>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</si>
  <si>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</si>
  <si>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</si>
  <si>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</si>
  <si>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</si>
  <si>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</si>
  <si>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</si>
  <si>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</si>
  <si>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</si>
  <si>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</si>
  <si>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</si>
  <si>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</si>
  <si>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</si>
  <si>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</si>
  <si>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</si>
  <si>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</si>
  <si>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</si>
  <si>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</si>
  <si>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</si>
  <si>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</si>
  <si>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</si>
  <si>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</si>
  <si>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</si>
  <si>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</si>
  <si>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</si>
  <si>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</si>
  <si>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</si>
  <si>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</si>
  <si>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</si>
  <si>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</si>
  <si>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</si>
  <si>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</si>
  <si>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</si>
  <si>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</si>
  <si>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</si>
  <si>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</si>
  <si>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</si>
  <si>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</si>
  <si>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</si>
  <si>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</si>
  <si>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</si>
  <si>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</si>
  <si>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</si>
  <si>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</si>
  <si>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</si>
  <si>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</si>
  <si>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</si>
  <si>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</si>
  <si>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</si>
  <si>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</si>
  <si>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</si>
  <si>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</si>
  <si>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</si>
  <si>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</si>
  <si>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</si>
  <si>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</si>
  <si>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</si>
  <si>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</si>
  <si>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</si>
  <si>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</si>
  <si>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</si>
  <si>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</si>
  <si>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</si>
  <si>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</si>
  <si>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</si>
  <si>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</si>
  <si>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</si>
  <si>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</si>
  <si>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</si>
  <si>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</si>
  <si>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</si>
  <si>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</si>
  <si>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</si>
  <si>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</si>
  <si>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</si>
  <si>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</si>
  <si>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</si>
  <si>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</si>
  <si>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</si>
  <si>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</si>
  <si>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</si>
  <si>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</si>
  <si>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</si>
  <si>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</si>
  <si>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</si>
  <si>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</si>
  <si>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</si>
  <si>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</si>
  <si>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</si>
  <si>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</si>
  <si>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</si>
  <si>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</si>
  <si>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</si>
  <si>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</si>
  <si>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</si>
  <si>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</si>
  <si>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</si>
  <si>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</si>
  <si>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</si>
  <si>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</si>
  <si>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</si>
  <si>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</si>
  <si>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</si>
  <si>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</si>
  <si>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</si>
  <si>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</si>
  <si>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</si>
  <si>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</si>
  <si>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</si>
  <si>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</si>
  <si>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</si>
  <si>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</si>
  <si>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</si>
  <si>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</si>
  <si>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</si>
  <si>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</si>
  <si>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</si>
  <si>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</si>
  <si>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</si>
  <si>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</si>
  <si>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</si>
  <si>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</si>
  <si>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</si>
  <si>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</si>
  <si>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</si>
  <si>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</si>
  <si>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</si>
  <si>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</si>
  <si>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</si>
  <si>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</si>
  <si>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</si>
  <si>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</si>
  <si>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</si>
  <si>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</si>
  <si>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</si>
  <si>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</si>
  <si>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</si>
  <si>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</si>
  <si>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</si>
  <si>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</si>
  <si>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</si>
  <si>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</si>
  <si>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</si>
  <si>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</si>
  <si>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</si>
  <si>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</si>
  <si>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</si>
  <si>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</si>
  <si>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</si>
  <si>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</si>
  <si>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</si>
  <si>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</si>
  <si>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</si>
  <si>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</si>
  <si>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</si>
  <si>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</si>
  <si>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</si>
  <si>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</si>
  <si>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</si>
  <si>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</si>
  <si>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</si>
  <si>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</si>
  <si>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</si>
  <si>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</si>
  <si>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</si>
  <si>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</si>
  <si>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</si>
  <si>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</si>
  <si>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</si>
  <si>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</si>
  <si>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</si>
  <si>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</si>
  <si>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</si>
  <si>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</si>
  <si>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</si>
  <si>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</si>
  <si>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</si>
  <si>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</si>
  <si>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</si>
  <si>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</si>
  <si>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</si>
  <si>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</si>
  <si>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</si>
  <si>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</si>
  <si>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</si>
  <si>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</si>
  <si>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</si>
  <si>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</si>
  <si>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</si>
  <si>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</si>
  <si>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</si>
  <si>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</si>
  <si>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</si>
  <si>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</si>
  <si>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</si>
  <si>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</si>
  <si>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</si>
  <si>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</si>
  <si>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</si>
  <si>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</si>
  <si>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</si>
  <si>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</si>
  <si>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</si>
  <si>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</si>
  <si>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</si>
  <si>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</si>
  <si>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</si>
  <si>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</si>
  <si>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</si>
  <si>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</si>
  <si>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</si>
  <si>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</si>
  <si>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</si>
  <si>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</si>
  <si>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</si>
  <si>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</si>
  <si>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</si>
  <si>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</si>
  <si>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</si>
  <si>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</si>
  <si>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</si>
  <si>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</si>
  <si>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</si>
  <si>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</si>
  <si>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</si>
  <si>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</si>
  <si>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</si>
  <si>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</si>
  <si>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</si>
  <si>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</si>
  <si>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</si>
  <si>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</si>
  <si>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</si>
  <si>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</si>
  <si>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</si>
  <si>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</si>
  <si>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</si>
  <si>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</si>
  <si>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</si>
  <si>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</si>
  <si>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</si>
  <si>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</si>
  <si>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</si>
  <si>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</si>
  <si>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</si>
  <si>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</si>
  <si>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</si>
  <si>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</si>
  <si>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</si>
  <si>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</si>
  <si>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</si>
  <si>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</si>
  <si>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</si>
  <si>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</si>
  <si>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</si>
  <si>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</si>
  <si>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</si>
  <si>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</si>
  <si>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</si>
  <si>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</si>
  <si>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</si>
  <si>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</si>
  <si>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</si>
  <si>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</si>
  <si>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</si>
  <si>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</si>
  <si>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</si>
  <si>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</si>
  <si>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</si>
  <si>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</si>
  <si>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</si>
  <si>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</si>
  <si>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</si>
  <si>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</si>
  <si>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</si>
  <si>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</si>
  <si>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</si>
  <si>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</si>
  <si>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</si>
  <si>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</si>
  <si>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</si>
  <si>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</si>
  <si>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</si>
  <si>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</si>
  <si>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</si>
  <si>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</si>
  <si>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</si>
  <si>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</si>
  <si>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</si>
  <si>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</si>
  <si>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</si>
  <si>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</si>
  <si>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</si>
  <si>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</si>
  <si>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</si>
  <si>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</si>
  <si>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</si>
  <si>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</si>
  <si>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</si>
  <si>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</si>
  <si>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</si>
  <si>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</si>
  <si>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</si>
  <si>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</si>
  <si>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</si>
  <si>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</si>
  <si>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</si>
  <si>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</si>
  <si>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</si>
  <si>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</si>
  <si>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</si>
  <si>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</si>
  <si>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</si>
  <si>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</si>
  <si>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</si>
  <si>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</si>
  <si>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</si>
  <si>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</si>
  <si>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</si>
  <si>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</si>
  <si>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</si>
  <si>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</si>
  <si>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</si>
  <si>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</si>
  <si>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</si>
  <si>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</si>
  <si>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</si>
  <si>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</si>
  <si>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</si>
  <si>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</si>
  <si>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</si>
  <si>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</si>
  <si>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</si>
  <si>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</si>
  <si>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</si>
  <si>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</si>
  <si>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</si>
  <si>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</si>
  <si>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</si>
  <si>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</si>
  <si>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</si>
  <si>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</si>
  <si>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</si>
  <si>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</si>
  <si>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</si>
  <si>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</si>
  <si>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</si>
  <si>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</si>
  <si>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</si>
  <si>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</si>
  <si>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</si>
  <si>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</si>
  <si>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</si>
  <si>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</si>
  <si>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</si>
  <si>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</si>
  <si>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</si>
  <si>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</si>
  <si>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</si>
  <si>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</si>
  <si>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</si>
  <si>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</si>
  <si>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</si>
  <si>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</si>
  <si>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</si>
  <si>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</si>
  <si>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</si>
  <si>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</si>
  <si>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</si>
  <si>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</si>
  <si>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</si>
  <si>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</si>
  <si>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</si>
  <si>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</si>
  <si>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</si>
  <si>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</si>
  <si>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</si>
  <si>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</si>
  <si>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</si>
  <si>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</si>
  <si>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</si>
  <si>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</si>
  <si>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</si>
  <si>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</si>
  <si>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</si>
  <si>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</si>
  <si>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</si>
  <si>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</si>
  <si>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</si>
  <si>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</si>
  <si>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</si>
  <si>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</si>
  <si>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</si>
  <si>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</si>
  <si>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</si>
  <si>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</si>
  <si>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</si>
  <si>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</si>
  <si>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</si>
  <si>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</si>
  <si>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</si>
  <si>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</si>
  <si>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</si>
  <si>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</si>
  <si>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</si>
  <si>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</si>
  <si>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</si>
  <si>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</si>
  <si>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</si>
  <si>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</si>
  <si>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</si>
  <si>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</si>
  <si>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</si>
  <si>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</si>
  <si>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</si>
  <si>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</si>
  <si>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</si>
  <si>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</si>
  <si>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</si>
  <si>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</si>
  <si>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</si>
  <si>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</si>
  <si>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</si>
  <si>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</si>
  <si>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</si>
  <si>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</si>
  <si>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</si>
  <si>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</si>
  <si>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</si>
  <si>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</si>
  <si>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</si>
  <si>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</si>
  <si>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</si>
  <si>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</si>
  <si>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</si>
  <si>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</si>
  <si>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</si>
  <si>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</si>
  <si>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</si>
  <si>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</si>
  <si>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</si>
  <si>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</si>
  <si>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</si>
  <si>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</si>
  <si>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</si>
  <si>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</si>
  <si>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</si>
  <si>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</si>
  <si>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</si>
  <si>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</si>
  <si>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</si>
  <si>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</si>
  <si>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</si>
  <si>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</si>
  <si>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</si>
  <si>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</si>
  <si>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</si>
  <si>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</si>
  <si>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</si>
  <si>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</si>
  <si>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</si>
  <si>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</si>
  <si>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</si>
  <si>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</si>
  <si>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</si>
  <si>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</si>
  <si>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</si>
  <si>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</si>
  <si>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</si>
  <si>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</si>
  <si>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</si>
  <si>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</si>
  <si>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</si>
  <si>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</si>
  <si>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</si>
  <si>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</si>
  <si>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</si>
  <si>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</si>
  <si>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</si>
  <si>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</si>
  <si>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</si>
  <si>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</si>
  <si>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</si>
  <si>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</si>
  <si>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</si>
  <si>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</si>
  <si>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</si>
  <si>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</si>
  <si>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</si>
  <si>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</si>
  <si>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</si>
  <si>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</si>
  <si>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</si>
  <si>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</si>
  <si>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</si>
  <si>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</si>
  <si>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</si>
  <si>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</si>
  <si>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</si>
  <si>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</si>
  <si>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</si>
  <si>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</si>
  <si>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</si>
  <si>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</si>
  <si>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</si>
  <si>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</si>
  <si>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</si>
  <si>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</si>
  <si>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</si>
  <si>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</si>
  <si>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</si>
  <si>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</si>
  <si>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</si>
  <si>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</si>
  <si>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</si>
  <si>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</si>
  <si>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</si>
  <si>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</si>
  <si>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</si>
  <si>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</si>
  <si>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</si>
  <si>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</si>
  <si>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</si>
  <si>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</si>
  <si>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</si>
  <si>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</si>
  <si>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</si>
  <si>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</si>
  <si>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</si>
  <si>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</si>
  <si>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</si>
  <si>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</si>
  <si>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</si>
  <si>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</si>
  <si>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</si>
  <si>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</si>
  <si>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</si>
  <si>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</si>
  <si>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</si>
  <si>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</si>
  <si>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</si>
  <si>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</si>
  <si>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</si>
  <si>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</si>
  <si>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</si>
  <si>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</si>
  <si>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</si>
  <si>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</si>
  <si>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</si>
  <si>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</si>
  <si>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</si>
  <si>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</si>
  <si>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</si>
  <si>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</si>
  <si>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</si>
  <si>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</si>
  <si>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</si>
  <si>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</si>
  <si>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</si>
  <si>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</si>
  <si>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</si>
  <si>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</si>
  <si>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</si>
  <si>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</si>
  <si>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</si>
  <si>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</si>
  <si>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</si>
  <si>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</si>
  <si>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</si>
  <si>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</si>
  <si>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</si>
  <si>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</si>
  <si>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</si>
  <si>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</si>
  <si>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</si>
  <si>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</si>
  <si>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</si>
  <si>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</si>
  <si>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</si>
  <si>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</si>
  <si>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</si>
  <si>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</si>
  <si>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</si>
  <si>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</si>
  <si>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</si>
  <si>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</si>
  <si>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</si>
  <si>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</si>
  <si>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</si>
  <si>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</si>
  <si>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</si>
  <si>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</si>
  <si>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</si>
  <si>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</si>
  <si>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</si>
  <si>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</si>
  <si>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</si>
  <si>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</si>
  <si>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</si>
  <si>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</si>
  <si>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</si>
  <si>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</si>
  <si>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</si>
  <si>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</si>
  <si>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</si>
  <si>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</si>
  <si>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</si>
  <si>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</si>
  <si>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</si>
  <si>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</si>
  <si>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</si>
  <si>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</si>
  <si>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</si>
  <si>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</si>
  <si>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</si>
  <si>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</si>
  <si>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</si>
  <si>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</si>
  <si>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</si>
  <si>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</si>
  <si>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</si>
  <si>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</si>
  <si>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</si>
  <si>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</si>
  <si>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</si>
  <si>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</si>
  <si>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</si>
  <si>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</si>
  <si>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</si>
  <si>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</si>
  <si>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</si>
  <si>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</si>
  <si>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</si>
  <si>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</si>
  <si>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</si>
  <si>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</si>
  <si>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</si>
  <si>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</si>
  <si>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</si>
  <si>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</si>
  <si>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</si>
  <si>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</si>
  <si>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</si>
  <si>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</si>
  <si>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</si>
  <si>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</si>
  <si>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</si>
  <si>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</si>
  <si>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</si>
  <si>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</si>
  <si>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</si>
  <si>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</si>
  <si>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</si>
  <si>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</si>
  <si>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</si>
  <si>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</si>
  <si>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</si>
  <si>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</si>
  <si>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</si>
  <si>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</si>
  <si>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</si>
  <si>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</si>
  <si>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</si>
  <si>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</si>
  <si>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</si>
  <si>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</si>
  <si>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</si>
  <si>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</si>
  <si>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</si>
  <si>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</si>
  <si>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</si>
  <si>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</si>
  <si>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</si>
  <si>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</si>
  <si>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</si>
  <si>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</si>
  <si>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</si>
  <si>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</si>
  <si>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</si>
  <si>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</si>
  <si>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</si>
  <si>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</si>
  <si>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</si>
  <si>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</si>
  <si>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</si>
  <si>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</si>
  <si>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</si>
  <si>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</si>
  <si>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</si>
  <si>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</si>
  <si>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</si>
  <si>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</si>
  <si>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</si>
  <si>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</si>
  <si>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</si>
  <si>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</si>
  <si>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</si>
  <si>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</si>
  <si>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</si>
  <si>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</si>
  <si>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</si>
  <si>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</si>
  <si>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</si>
  <si>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</si>
  <si>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</si>
  <si>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</si>
  <si>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</si>
  <si>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</si>
  <si>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</si>
  <si>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</si>
  <si>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</si>
  <si>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</si>
  <si>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</si>
  <si>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</si>
  <si>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</si>
  <si>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</si>
  <si>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</si>
  <si>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</si>
  <si>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</si>
  <si>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</si>
  <si>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</si>
  <si>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</si>
  <si>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</si>
  <si>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</si>
  <si>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</si>
  <si>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</si>
  <si>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</si>
  <si>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</si>
  <si>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</si>
  <si>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</si>
  <si>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</si>
  <si>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</si>
  <si>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</si>
  <si>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</si>
  <si>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</si>
  <si>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</si>
  <si>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</si>
  <si>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</si>
  <si>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</si>
  <si>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</si>
  <si>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</si>
  <si>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</si>
  <si>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</si>
  <si>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</si>
  <si>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</si>
  <si>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</si>
  <si>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</si>
  <si>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</si>
  <si>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</si>
  <si>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</si>
  <si>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</si>
  <si>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</si>
  <si>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</si>
  <si>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</si>
  <si>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</si>
  <si>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</si>
  <si>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</si>
  <si>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</si>
  <si>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</si>
  <si>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</si>
  <si>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</si>
  <si>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</si>
  <si>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</si>
  <si>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</si>
  <si>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</si>
  <si>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</si>
  <si>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</si>
  <si>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</si>
  <si>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</si>
  <si>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</si>
  <si>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</si>
  <si>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</si>
  <si>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</si>
  <si>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</si>
  <si>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</si>
  <si>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</si>
  <si>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</si>
  <si>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</si>
  <si>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</si>
  <si>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</si>
  <si>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</si>
  <si>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</si>
  <si>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</si>
  <si>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</si>
  <si>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</si>
  <si>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</si>
  <si>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</si>
  <si>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</si>
  <si>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</si>
  <si>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</si>
  <si>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</si>
  <si>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</si>
  <si>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</si>
  <si>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</si>
  <si>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</si>
  <si>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</si>
  <si>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</si>
  <si>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</si>
  <si>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</si>
  <si>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</si>
  <si>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</si>
  <si>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</si>
  <si>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</si>
  <si>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</si>
  <si>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</si>
  <si>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</si>
  <si>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</si>
  <si>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</si>
  <si>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</si>
  <si>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</si>
  <si>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</si>
  <si>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</si>
  <si>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</si>
  <si>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</si>
  <si>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</si>
  <si>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</si>
  <si>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</si>
  <si>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</si>
  <si>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</si>
  <si>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</si>
  <si>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</si>
  <si>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</si>
  <si>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</si>
  <si>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</si>
  <si>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</si>
  <si>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</si>
  <si>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</si>
  <si>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</si>
  <si>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</si>
  <si>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</si>
  <si>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</si>
  <si>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</si>
  <si>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</si>
  <si>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</si>
  <si>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</si>
  <si>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</si>
  <si>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</si>
  <si>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</si>
  <si>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</si>
  <si>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</si>
  <si>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</si>
  <si>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</si>
  <si>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</si>
  <si>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</si>
  <si>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</si>
  <si>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</si>
  <si>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</si>
  <si>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</si>
  <si>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</si>
  <si>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</si>
  <si>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</si>
  <si>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</si>
  <si>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</si>
  <si>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</si>
  <si>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</si>
  <si>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</si>
  <si>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</si>
  <si>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</si>
  <si>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</si>
  <si>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</si>
  <si>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</si>
  <si>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</si>
  <si>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</si>
  <si>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</si>
  <si>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</si>
  <si>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</si>
  <si>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</si>
  <si>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</si>
  <si>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</si>
  <si>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</si>
  <si>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</si>
  <si>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</si>
  <si>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</si>
  <si>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</si>
  <si>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</si>
  <si>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</si>
  <si>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</si>
  <si>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</si>
  <si>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</si>
  <si>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</si>
  <si>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</si>
  <si>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</si>
  <si>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</si>
  <si>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</si>
  <si>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</si>
  <si>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</si>
  <si>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</si>
  <si>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</si>
  <si>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</si>
  <si>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</si>
  <si>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</si>
  <si>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</si>
  <si>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</si>
  <si>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</si>
  <si>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</si>
  <si>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</si>
  <si>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</si>
  <si>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</si>
  <si>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</si>
  <si>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</si>
  <si>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</si>
  <si>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</si>
  <si>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</si>
  <si>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</si>
  <si>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</si>
  <si>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</si>
  <si>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</si>
  <si>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</si>
  <si>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</si>
  <si>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</si>
  <si>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</si>
  <si>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</si>
  <si>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</si>
  <si>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</si>
  <si>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</si>
  <si>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</si>
  <si>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</si>
  <si>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</si>
  <si>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</si>
  <si>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</si>
  <si>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</si>
  <si>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</si>
  <si>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</si>
  <si>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</si>
  <si>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</si>
  <si>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</si>
  <si>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</si>
  <si>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</si>
  <si>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</si>
  <si>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</si>
  <si>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</si>
  <si>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</si>
  <si>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</si>
  <si>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</si>
  <si>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</si>
  <si>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</si>
  <si>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</si>
  <si>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</si>
  <si>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</si>
  <si>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</si>
  <si>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</si>
  <si>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</si>
  <si>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</si>
  <si>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</si>
  <si>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</si>
  <si>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</si>
  <si>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</si>
  <si>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</si>
  <si>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</si>
  <si>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</si>
  <si>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</si>
  <si>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</si>
  <si>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</si>
  <si>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</si>
  <si>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</si>
  <si>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</si>
  <si>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</si>
  <si>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</si>
  <si>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</si>
  <si>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</si>
  <si>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</si>
  <si>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</si>
  <si>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</si>
  <si>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</si>
  <si>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</si>
  <si>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</si>
  <si>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</si>
  <si>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</si>
  <si>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</si>
  <si>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</si>
  <si>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</si>
  <si>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</si>
  <si>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</si>
  <si>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</si>
  <si>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</si>
  <si>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</si>
  <si>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</si>
  <si>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</si>
  <si>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</si>
  <si>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</si>
  <si>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</si>
  <si>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</si>
  <si>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</si>
  <si>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</si>
  <si>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</si>
  <si>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</si>
  <si>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</si>
  <si>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</si>
  <si>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</si>
  <si>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</si>
  <si>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</si>
  <si>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</si>
  <si>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</si>
  <si>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</si>
  <si>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</si>
  <si>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</si>
  <si>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</si>
  <si>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</si>
  <si>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</si>
  <si>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</si>
  <si>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</si>
  <si>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</si>
  <si>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</si>
  <si>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</si>
  <si>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</si>
  <si>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</si>
  <si>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</si>
  <si>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</si>
  <si>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</si>
  <si>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</si>
  <si>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</si>
  <si>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</si>
  <si>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</si>
  <si>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</si>
  <si>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</si>
  <si>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</si>
  <si>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</si>
  <si>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</si>
  <si>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</si>
  <si>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</si>
  <si>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</si>
  <si>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</si>
  <si>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</si>
  <si>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</si>
  <si>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</si>
  <si>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</si>
  <si>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</si>
  <si>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</si>
  <si>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</si>
  <si>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</si>
  <si>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</si>
  <si>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</si>
  <si>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</si>
  <si>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</si>
  <si>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</si>
  <si>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</si>
  <si>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</si>
  <si>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</si>
  <si>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</si>
  <si>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</si>
  <si>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</si>
  <si>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</si>
  <si>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</si>
  <si>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</si>
  <si>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</si>
  <si>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</si>
  <si>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</si>
  <si>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</si>
  <si>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</si>
  <si>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</si>
  <si>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</si>
  <si>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</si>
  <si>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</si>
  <si>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</si>
  <si>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</si>
  <si>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</si>
  <si>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</si>
  <si>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</si>
  <si>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</si>
  <si>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</si>
  <si>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</si>
  <si>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</si>
  <si>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</si>
  <si>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</si>
  <si>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</si>
  <si>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</si>
  <si>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</si>
  <si>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</si>
  <si>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</si>
  <si>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</si>
  <si>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</si>
  <si>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</si>
  <si>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</si>
  <si>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</si>
  <si>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</si>
  <si>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</si>
  <si>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</si>
  <si>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</si>
  <si>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</si>
  <si>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</si>
  <si>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</si>
  <si>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</si>
  <si>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</si>
  <si>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</si>
  <si>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</si>
  <si>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</si>
  <si>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</si>
  <si>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</si>
  <si>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</si>
  <si>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</si>
  <si>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</si>
  <si>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</si>
  <si>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</si>
  <si>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</si>
  <si>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</si>
  <si>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</si>
  <si>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</si>
  <si>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</si>
  <si>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</si>
  <si>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</si>
  <si>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</si>
  <si>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</si>
  <si>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</si>
  <si>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</si>
  <si>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</si>
  <si>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</si>
  <si>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</si>
  <si>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</si>
  <si>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</si>
  <si>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</si>
  <si>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</si>
  <si>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</si>
  <si>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</si>
  <si>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</si>
  <si>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</si>
  <si>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</si>
  <si>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</si>
  <si>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</si>
  <si>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</si>
  <si>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</si>
  <si>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</si>
  <si>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</si>
  <si>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</si>
  <si>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</si>
  <si>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</si>
  <si>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</si>
  <si>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</si>
  <si>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</si>
  <si>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</si>
  <si>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</si>
  <si>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</si>
  <si>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</si>
  <si>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</si>
  <si>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</si>
  <si>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</si>
  <si>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</si>
  <si>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</si>
  <si>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</si>
  <si>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</si>
  <si>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</si>
  <si>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</si>
  <si>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</si>
  <si>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</si>
  <si>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</si>
  <si>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</si>
  <si>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</si>
  <si>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</si>
  <si>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</si>
  <si>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</si>
  <si>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</si>
  <si>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</si>
  <si>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</si>
  <si>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</si>
  <si>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</si>
  <si>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</si>
  <si>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</si>
  <si>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</si>
  <si>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</si>
  <si>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</si>
  <si>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</si>
  <si>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</si>
  <si>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</si>
  <si>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</si>
  <si>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</si>
  <si>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</si>
  <si>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</si>
  <si>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</si>
  <si>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</si>
  <si>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</si>
  <si>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</si>
  <si>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</si>
  <si>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</si>
  <si>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</si>
  <si>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</si>
  <si>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</si>
  <si>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</si>
  <si>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</si>
  <si>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</si>
  <si>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</si>
  <si>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</si>
  <si>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</si>
  <si>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</si>
  <si>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</si>
  <si>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</si>
  <si>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</si>
  <si>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</si>
  <si>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</si>
  <si>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</si>
  <si>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</si>
  <si>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</si>
  <si>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</si>
  <si>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</si>
  <si>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</si>
  <si>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</si>
  <si>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</si>
  <si>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</si>
  <si>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</si>
  <si>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</si>
  <si>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</si>
  <si>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</si>
  <si>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</si>
  <si>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</si>
  <si>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</si>
  <si>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</si>
  <si>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</si>
  <si>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</si>
  <si>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</si>
  <si>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</si>
  <si>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</si>
  <si>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</si>
  <si>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</si>
  <si>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</si>
  <si>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</si>
  <si>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</si>
  <si>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</si>
  <si>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</si>
  <si>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</si>
  <si>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</si>
  <si>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</si>
  <si>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</si>
  <si>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</si>
  <si>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</si>
  <si>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</si>
  <si>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</si>
  <si>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</si>
  <si>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</si>
  <si>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</si>
  <si>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</si>
  <si>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</si>
  <si>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</si>
  <si>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</si>
  <si>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</si>
  <si>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</si>
  <si>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</si>
  <si>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</si>
  <si>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</si>
  <si>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</si>
  <si>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</si>
  <si>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</si>
  <si>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</si>
  <si>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</si>
  <si>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</si>
  <si>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</si>
  <si>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</si>
  <si>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</si>
  <si>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</si>
  <si>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</si>
  <si>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</si>
  <si>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</si>
  <si>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</si>
  <si>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</si>
  <si>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</si>
  <si>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</si>
  <si>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</si>
  <si>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</si>
  <si>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</si>
  <si>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</si>
  <si>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</si>
  <si>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</si>
  <si>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</si>
  <si>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</si>
  <si>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</si>
  <si>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</si>
  <si>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</si>
  <si>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</si>
  <si>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</si>
  <si>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</si>
  <si>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</si>
  <si>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</si>
  <si>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</si>
  <si>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</si>
  <si>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</si>
  <si>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</si>
  <si>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</si>
  <si>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</si>
  <si>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</si>
  <si>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</si>
  <si>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</si>
  <si>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</si>
  <si>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</si>
  <si>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</si>
  <si>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</si>
  <si>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</si>
  <si>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</si>
  <si>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</si>
  <si>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</si>
  <si>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</si>
  <si>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</si>
  <si>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</si>
  <si>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</si>
  <si>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</si>
  <si>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</si>
  <si>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</si>
  <si>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</si>
  <si>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</si>
  <si>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</si>
  <si>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</si>
  <si>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</si>
  <si>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</si>
  <si>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</si>
  <si>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</si>
  <si>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</si>
  <si>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</si>
  <si>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</si>
  <si>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</si>
  <si>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</si>
  <si>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</si>
  <si>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</si>
  <si>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</si>
  <si>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</si>
  <si>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</si>
  <si>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</si>
  <si>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</si>
  <si>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</si>
  <si>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</si>
  <si>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</si>
  <si>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</si>
  <si>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</si>
  <si>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</si>
  <si>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</si>
  <si>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</si>
  <si>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</si>
  <si>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</si>
  <si>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</si>
  <si>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</si>
  <si>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</si>
  <si>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</si>
  <si>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</si>
  <si>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</si>
  <si>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</si>
  <si>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</si>
  <si>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</si>
  <si>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</si>
  <si>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</si>
  <si>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</si>
  <si>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</si>
  <si>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</si>
  <si>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</si>
  <si>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</si>
  <si>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</si>
  <si>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</si>
  <si>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</si>
  <si>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</si>
  <si>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</si>
  <si>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</si>
  <si>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</si>
  <si>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</si>
  <si>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</si>
  <si>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</si>
  <si>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</si>
  <si>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</si>
  <si>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</si>
  <si>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</si>
  <si>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</si>
  <si>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</si>
  <si>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</si>
  <si>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</si>
  <si>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</si>
  <si>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</si>
  <si>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</si>
  <si>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</si>
  <si>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</si>
  <si>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</si>
  <si>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</si>
  <si>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</si>
  <si>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</si>
  <si>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</si>
  <si>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</si>
  <si>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</si>
  <si>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</si>
  <si>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</si>
  <si>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</si>
  <si>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</si>
  <si>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</si>
  <si>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</si>
  <si>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</si>
  <si>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</si>
  <si>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</si>
  <si>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</si>
  <si>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</si>
  <si>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</si>
  <si>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</si>
  <si>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</si>
  <si>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</si>
  <si>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</si>
  <si>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</si>
  <si>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</si>
  <si>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</si>
  <si>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</si>
  <si>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</si>
  <si>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</si>
  <si>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</si>
  <si>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</si>
  <si>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</si>
  <si>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</si>
  <si>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</si>
  <si>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</si>
  <si>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</si>
  <si>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</si>
  <si>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</si>
  <si>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</si>
  <si>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</si>
  <si>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</si>
  <si>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</si>
  <si>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</si>
  <si>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</si>
  <si>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</si>
  <si>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</si>
  <si>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</si>
  <si>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</si>
  <si>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</si>
  <si>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</si>
  <si>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</si>
  <si>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</si>
  <si>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</si>
  <si>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</si>
  <si>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</si>
  <si>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</si>
  <si>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</si>
  <si>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</si>
  <si>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</si>
  <si>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</si>
  <si>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</si>
  <si>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</si>
  <si>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</si>
  <si>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</si>
  <si>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</si>
  <si>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</si>
  <si>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</si>
  <si>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</si>
  <si>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</si>
  <si>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</si>
  <si>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</si>
  <si>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</si>
  <si>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</si>
  <si>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</si>
  <si>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</si>
  <si>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</si>
  <si>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</si>
  <si>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</si>
  <si>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</si>
  <si>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</si>
  <si>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</si>
  <si>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</si>
  <si>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</si>
  <si>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</si>
  <si>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</si>
  <si>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</si>
  <si>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</si>
  <si>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</si>
  <si>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</si>
  <si>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</si>
  <si>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</si>
  <si>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</si>
  <si>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</si>
  <si>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</si>
  <si>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</si>
  <si>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</si>
  <si>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</si>
  <si>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</si>
  <si>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</si>
  <si>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</si>
  <si>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</si>
  <si>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</si>
  <si>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</si>
  <si>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</si>
  <si>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</si>
  <si>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</si>
  <si>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</si>
  <si>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</si>
  <si>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</si>
  <si>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</si>
  <si>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</si>
  <si>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</si>
  <si>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</si>
  <si>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</si>
  <si>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</si>
  <si>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</si>
  <si>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</si>
  <si>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</si>
  <si>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</si>
  <si>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</si>
  <si>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</si>
  <si>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</si>
  <si>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</si>
  <si>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</si>
  <si>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</si>
  <si>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</si>
  <si>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</si>
  <si>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</si>
  <si>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</si>
  <si>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</si>
  <si>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</si>
  <si>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</si>
  <si>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</si>
  <si>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</si>
  <si>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</si>
  <si>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</si>
  <si>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</si>
  <si>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</si>
  <si>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</si>
  <si>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</si>
  <si>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</si>
  <si>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</si>
  <si>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</si>
  <si>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</si>
  <si>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</si>
  <si>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</si>
  <si>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</si>
  <si>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</si>
  <si>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</si>
  <si>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</si>
  <si>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</si>
  <si>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</si>
  <si>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</si>
  <si>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</si>
  <si>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</si>
  <si>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</si>
  <si>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</si>
  <si>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</si>
  <si>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</si>
  <si>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</si>
  <si>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</si>
  <si>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</si>
  <si>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</si>
  <si>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</si>
  <si>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</si>
  <si>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</si>
  <si>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</si>
  <si>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</si>
  <si>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</si>
  <si>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</si>
  <si>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</si>
  <si>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</si>
  <si>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</si>
  <si>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</si>
  <si>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</si>
  <si>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</si>
  <si>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</si>
  <si>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</si>
  <si>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</si>
  <si>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</si>
  <si>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</si>
  <si>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</si>
  <si>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</si>
  <si>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</si>
  <si>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</si>
  <si>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</si>
  <si>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</si>
  <si>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</si>
  <si>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</si>
  <si>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</si>
  <si>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</si>
  <si>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</si>
  <si>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</si>
  <si>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</si>
  <si>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</si>
  <si>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</si>
  <si>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</si>
  <si>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</si>
  <si>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</si>
  <si>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</si>
  <si>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</si>
  <si>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</si>
  <si>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</si>
  <si>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</si>
  <si>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</si>
  <si>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</si>
  <si>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</si>
  <si>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</si>
  <si>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</si>
  <si>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</si>
  <si>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</si>
  <si>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</si>
  <si>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</si>
  <si>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</si>
  <si>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</si>
  <si>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</si>
  <si>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</si>
  <si>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</si>
  <si>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</si>
  <si>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</si>
  <si>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</si>
  <si>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</si>
  <si>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</si>
  <si>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</si>
  <si>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</si>
  <si>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</si>
  <si>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</si>
  <si>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</si>
  <si>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</si>
  <si>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</si>
  <si>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</si>
  <si>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</si>
  <si>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</si>
  <si>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</si>
  <si>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</si>
  <si>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</si>
  <si>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</si>
  <si>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</si>
  <si>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</si>
  <si>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</si>
  <si>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</si>
  <si>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</si>
  <si>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</si>
  <si>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</si>
  <si>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</si>
  <si>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</si>
  <si>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</si>
  <si>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</si>
  <si>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</si>
  <si>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</si>
  <si>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</si>
  <si>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</si>
  <si>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</si>
  <si>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</si>
  <si>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</si>
  <si>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</si>
  <si>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</si>
  <si>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</si>
  <si>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</si>
  <si>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</si>
  <si>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</si>
  <si>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</si>
  <si>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</si>
  <si>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</si>
  <si>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</si>
  <si>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</si>
  <si>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</si>
  <si>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</si>
  <si>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</si>
  <si>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</si>
  <si>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</si>
  <si>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</si>
  <si>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</si>
  <si>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</si>
  <si>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</si>
  <si>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</si>
  <si>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</si>
  <si>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</si>
  <si>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</si>
  <si>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</si>
  <si>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</si>
  <si>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</si>
  <si>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</si>
  <si>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</si>
  <si>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</si>
  <si>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</si>
  <si>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</si>
  <si>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</si>
  <si>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</si>
  <si>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</si>
  <si>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</si>
  <si>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</si>
  <si>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</si>
  <si>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</si>
  <si>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</si>
  <si>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</si>
  <si>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</si>
  <si>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</si>
  <si>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</si>
  <si>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</si>
  <si>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</si>
  <si>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</si>
  <si>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</si>
  <si>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</si>
  <si>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</si>
  <si>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</si>
  <si>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</si>
  <si>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</si>
  <si>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</si>
  <si>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</si>
  <si>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</si>
  <si>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</si>
  <si>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</si>
  <si>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</si>
  <si>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</si>
  <si>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</si>
  <si>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</si>
  <si>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</si>
  <si>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</si>
  <si>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</si>
  <si>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</si>
  <si>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</si>
  <si>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</si>
  <si>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</si>
  <si>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</si>
  <si>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</si>
  <si>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</si>
  <si>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</si>
  <si>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</si>
  <si>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</si>
  <si>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</si>
  <si>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</si>
  <si>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</si>
  <si>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</si>
  <si>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</si>
  <si>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</si>
  <si>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</si>
  <si>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</si>
  <si>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</si>
  <si>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</si>
  <si>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</si>
  <si>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</si>
  <si>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</si>
  <si>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</si>
  <si>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</si>
  <si>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</si>
  <si>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</si>
  <si>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</si>
  <si>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</si>
  <si>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</si>
  <si>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</si>
  <si>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</si>
  <si>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</si>
  <si>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</si>
  <si>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</si>
  <si>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</si>
  <si>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</si>
  <si>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</si>
  <si>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</si>
  <si>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</si>
  <si>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</si>
  <si>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</si>
  <si>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</si>
  <si>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</si>
  <si>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</si>
  <si>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</si>
  <si>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</si>
  <si>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</si>
  <si>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</si>
  <si>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</si>
  <si>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</si>
  <si>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</si>
  <si>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</si>
  <si>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</si>
  <si>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</si>
  <si>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</si>
  <si>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</si>
  <si>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</si>
  <si>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</si>
  <si>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</si>
  <si>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</si>
  <si>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</si>
  <si>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</si>
  <si>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</si>
  <si>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</si>
  <si>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</si>
  <si>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</si>
  <si>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</si>
  <si>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</si>
  <si>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</si>
  <si>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</si>
  <si>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</si>
  <si>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</si>
  <si>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</si>
  <si>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</si>
  <si>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</si>
  <si>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</si>
  <si>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</si>
  <si>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</si>
  <si>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</si>
  <si>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</si>
  <si>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</si>
  <si>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</si>
  <si>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</si>
  <si>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</si>
  <si>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</si>
  <si>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</si>
  <si>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</si>
  <si>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</si>
  <si>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</si>
  <si>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</si>
  <si>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</si>
  <si>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</si>
  <si>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</si>
  <si>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</si>
  <si>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</si>
  <si>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</si>
  <si>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</si>
  <si>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</si>
  <si>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</si>
  <si>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</si>
  <si>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</si>
  <si>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</si>
  <si>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</si>
  <si>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</si>
  <si>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</si>
  <si>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</si>
  <si>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</si>
  <si>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</si>
  <si>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</si>
  <si>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</si>
  <si>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</si>
  <si>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</si>
  <si>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</si>
  <si>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</si>
  <si>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</si>
  <si>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</si>
  <si>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</si>
  <si>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</si>
  <si>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</si>
  <si>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</si>
  <si>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</si>
  <si>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</si>
  <si>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</si>
  <si>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</si>
  <si>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</si>
  <si>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</si>
  <si>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</si>
  <si>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</si>
  <si>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</si>
  <si>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</si>
  <si>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</si>
  <si>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</si>
  <si>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</si>
  <si>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</si>
  <si>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</si>
  <si>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</si>
  <si>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</si>
  <si>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</si>
  <si>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</si>
  <si>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</si>
  <si>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</si>
  <si>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</si>
  <si>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</si>
  <si>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</si>
  <si>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</si>
  <si>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</si>
  <si>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</si>
  <si>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</si>
  <si>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</si>
  <si>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</si>
  <si>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</si>
  <si>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</si>
  <si>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</si>
  <si>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</si>
  <si>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</si>
  <si>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</si>
  <si>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</si>
  <si>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</si>
  <si>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</si>
  <si>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</si>
  <si>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</si>
  <si>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</si>
  <si>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</si>
  <si>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</si>
  <si>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</si>
  <si>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</si>
  <si>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</si>
  <si>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</si>
  <si>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</si>
  <si>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</si>
  <si>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</si>
  <si>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</si>
  <si>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</si>
  <si>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</si>
  <si>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</si>
  <si>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</si>
  <si>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</si>
  <si>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</si>
  <si>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</si>
  <si>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</si>
  <si>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</si>
  <si>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</si>
  <si>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</si>
  <si>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</si>
  <si>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</si>
  <si>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</si>
  <si>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</si>
  <si>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</si>
  <si>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</si>
  <si>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</si>
  <si>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</si>
  <si>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</si>
  <si>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</si>
  <si>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</si>
  <si>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</si>
  <si>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</si>
  <si>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</si>
  <si>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</si>
  <si>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</si>
  <si>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</si>
  <si>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</si>
  <si>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</si>
  <si>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</si>
  <si>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</si>
  <si>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</si>
  <si>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</si>
  <si>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</si>
  <si>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</si>
  <si>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</si>
  <si>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</si>
  <si>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</si>
  <si>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</si>
  <si>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</si>
  <si>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</si>
  <si>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</si>
  <si>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</si>
  <si>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</si>
  <si>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</si>
  <si>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</si>
  <si>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</si>
  <si>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</si>
  <si>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</si>
  <si>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</si>
  <si>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</si>
  <si>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</si>
  <si>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</si>
  <si>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</si>
  <si>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</si>
  <si>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</si>
  <si>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</si>
  <si>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</si>
  <si>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</si>
  <si>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</si>
  <si>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</si>
  <si>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</si>
  <si>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</si>
  <si>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</si>
  <si>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</si>
  <si>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</si>
  <si>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</si>
  <si>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</si>
  <si>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</si>
  <si>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</si>
  <si>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</si>
  <si>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</si>
  <si>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</si>
  <si>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</si>
  <si>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</si>
  <si>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</si>
  <si>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</si>
  <si>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</si>
  <si>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</si>
  <si>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</si>
  <si>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</si>
  <si>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</si>
  <si>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</si>
  <si>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</si>
  <si>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</si>
  <si>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</si>
  <si>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</si>
  <si>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</si>
  <si>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</si>
  <si>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</si>
  <si>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</si>
  <si>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</si>
  <si>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</si>
  <si>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</si>
  <si>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</si>
  <si>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</si>
  <si>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</si>
  <si>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</si>
  <si>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</si>
  <si>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</si>
  <si>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</si>
  <si>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</si>
  <si>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</si>
  <si>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</si>
  <si>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</si>
  <si>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</si>
  <si>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</si>
  <si>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</si>
  <si>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</si>
  <si>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</si>
  <si>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</si>
  <si>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</si>
  <si>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</si>
  <si>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</si>
  <si>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</si>
  <si>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</si>
  <si>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</si>
  <si>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</si>
  <si>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</si>
  <si>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</si>
  <si>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</si>
  <si>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</si>
  <si>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</si>
  <si>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</si>
  <si>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</si>
  <si>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</si>
  <si>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</si>
  <si>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</si>
  <si>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</si>
  <si>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</si>
  <si>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</si>
  <si>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</si>
  <si>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</si>
  <si>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</si>
  <si>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</si>
  <si>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</si>
  <si>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</si>
  <si>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</si>
  <si>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</si>
  <si>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</si>
  <si>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</si>
  <si>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</si>
  <si>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</si>
  <si>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</si>
  <si>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</si>
  <si>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</si>
  <si>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</si>
  <si>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</si>
  <si>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</si>
  <si>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</si>
  <si>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</si>
  <si>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</si>
  <si>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</si>
  <si>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</si>
  <si>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</si>
  <si>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</si>
  <si>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</si>
  <si>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</si>
  <si>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</si>
  <si>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</si>
  <si>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</si>
  <si>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</si>
  <si>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</si>
  <si>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</si>
  <si>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</si>
  <si>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</si>
  <si>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</si>
  <si>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</si>
  <si>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</si>
  <si>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</si>
  <si>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</si>
  <si>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</si>
  <si>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</si>
  <si>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</si>
  <si>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</si>
  <si>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</si>
  <si>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</si>
  <si>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</si>
  <si>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</si>
  <si>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</si>
  <si>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</si>
  <si>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</si>
  <si>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</si>
  <si>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</si>
  <si>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</si>
  <si>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</si>
  <si>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</si>
  <si>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</si>
  <si>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</si>
  <si>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</si>
  <si>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</si>
  <si>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</si>
  <si>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</si>
  <si>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</si>
  <si>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</si>
  <si>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</si>
  <si>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</si>
  <si>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</si>
  <si>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</si>
  <si>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</si>
  <si>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</si>
  <si>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</si>
  <si>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</si>
  <si>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</si>
  <si>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</si>
  <si>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</si>
  <si>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</si>
  <si>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</si>
  <si>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</si>
  <si>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</si>
  <si>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</si>
  <si>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</si>
  <si>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</si>
  <si>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</si>
  <si>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</si>
  <si>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</si>
  <si>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</si>
  <si>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</si>
  <si>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</si>
  <si>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</si>
  <si>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</si>
  <si>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</si>
  <si>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</si>
  <si>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</si>
  <si>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</si>
  <si>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</si>
  <si>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</si>
  <si>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</si>
  <si>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</si>
  <si>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</si>
  <si>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</si>
  <si>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</si>
  <si>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</si>
  <si>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</si>
  <si>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</si>
  <si>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</si>
  <si>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</si>
  <si>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</si>
  <si>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</si>
  <si>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</si>
  <si>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</si>
  <si>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</si>
  <si>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</si>
  <si>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</si>
  <si>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</si>
  <si>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</si>
  <si>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</si>
  <si>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</si>
  <si>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</si>
  <si>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</si>
  <si>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</si>
  <si>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</si>
  <si>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</si>
  <si>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</si>
  <si>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</si>
  <si>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</si>
  <si>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</si>
  <si>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</si>
  <si>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</si>
  <si>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</si>
  <si>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</si>
  <si>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</si>
  <si>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</si>
  <si>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</si>
  <si>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</si>
  <si>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</si>
  <si>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</si>
  <si>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</si>
  <si>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</si>
  <si>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</si>
  <si>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</si>
  <si>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</si>
  <si>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</si>
  <si>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</si>
  <si>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</si>
  <si>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</si>
  <si>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</si>
  <si>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</si>
  <si>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</si>
  <si>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</si>
  <si>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</si>
  <si>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</si>
  <si>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</si>
  <si>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</si>
  <si>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</si>
  <si>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</si>
  <si>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</si>
  <si>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</si>
  <si>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</si>
  <si>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</si>
  <si>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</si>
  <si>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</si>
  <si>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</si>
  <si>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</si>
  <si>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</si>
  <si>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</si>
  <si>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</si>
  <si>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</si>
  <si>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</si>
  <si>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</si>
  <si>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</si>
  <si>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</si>
  <si>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</si>
  <si>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</si>
  <si>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</si>
  <si>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</si>
  <si>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</si>
  <si>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</si>
  <si>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</si>
  <si>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</si>
  <si>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</si>
  <si>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</si>
  <si>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</si>
  <si>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</si>
  <si>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</si>
  <si>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</si>
  <si>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</si>
  <si>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</si>
  <si>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</si>
  <si>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</si>
  <si>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</si>
  <si>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</si>
  <si>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</si>
  <si>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</si>
  <si>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</si>
  <si>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</si>
  <si>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</si>
  <si>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</si>
  <si>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</si>
  <si>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</si>
  <si>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</si>
  <si>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</si>
  <si>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</si>
  <si>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</si>
  <si>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</si>
  <si>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</si>
  <si>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</si>
  <si>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</si>
  <si>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</si>
  <si>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</si>
  <si>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</si>
  <si>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</si>
  <si>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</si>
  <si>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</si>
  <si>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</si>
  <si>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</si>
  <si>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</si>
  <si>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</si>
  <si>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</si>
  <si>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</si>
  <si>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</si>
  <si>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</si>
  <si>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</si>
  <si>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</si>
  <si>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</si>
  <si>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</si>
  <si>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</si>
  <si>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</si>
  <si>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</si>
  <si>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</si>
  <si>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</si>
  <si>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</si>
  <si>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</si>
  <si>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</si>
  <si>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</si>
  <si>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</si>
  <si>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</si>
  <si>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</si>
  <si>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</si>
  <si>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</si>
  <si>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</si>
  <si>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</si>
  <si>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</si>
  <si>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</si>
  <si>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</si>
  <si>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</si>
  <si>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</si>
  <si>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</si>
  <si>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</si>
  <si>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</si>
  <si>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</si>
  <si>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</si>
  <si>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</si>
  <si>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</si>
  <si>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</si>
  <si>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</si>
  <si>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</si>
  <si>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</si>
  <si>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</si>
  <si>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</si>
  <si>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</si>
  <si>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</si>
  <si>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</si>
  <si>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</si>
  <si>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</si>
  <si>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</si>
  <si>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</si>
  <si>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</si>
  <si>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</si>
  <si>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</si>
  <si>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</si>
  <si>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</si>
  <si>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</si>
  <si>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</si>
  <si>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</si>
  <si>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</si>
  <si>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</si>
  <si>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</si>
  <si>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</si>
  <si>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</si>
  <si>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</si>
  <si>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</si>
  <si>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</si>
  <si>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</si>
  <si>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</si>
  <si>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</si>
  <si>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</si>
  <si>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</si>
  <si>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</si>
  <si>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</si>
  <si>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</si>
  <si>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</si>
  <si>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</si>
  <si>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</si>
  <si>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</si>
  <si>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</si>
  <si>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</si>
  <si>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</si>
  <si>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</si>
  <si>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</si>
  <si>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</si>
  <si>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</si>
  <si>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</si>
  <si>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</si>
  <si>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</si>
  <si>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</si>
  <si>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</si>
  <si>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</si>
  <si>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</si>
  <si>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</si>
  <si>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</si>
  <si>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</si>
  <si>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</si>
  <si>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</si>
  <si>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</si>
  <si>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</si>
  <si>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</si>
  <si>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</si>
  <si>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</si>
  <si>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</si>
  <si>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</si>
  <si>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</si>
  <si>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</si>
  <si>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</si>
  <si>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</si>
  <si>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</si>
  <si>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</si>
  <si>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</si>
  <si>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</si>
  <si>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</si>
  <si>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</si>
  <si>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</si>
  <si>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</si>
  <si>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</si>
  <si>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</si>
  <si>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</si>
  <si>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</si>
  <si>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</si>
  <si>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</si>
  <si>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</si>
  <si>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</si>
  <si>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</si>
  <si>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</si>
  <si>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</si>
  <si>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</si>
  <si>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</si>
  <si>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</si>
  <si>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</si>
  <si>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</si>
  <si>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</si>
  <si>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</si>
  <si>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</si>
  <si>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</si>
  <si>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</si>
  <si>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</si>
  <si>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</si>
  <si>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</si>
  <si>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</si>
  <si>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</si>
  <si>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</si>
  <si>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</si>
  <si>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</si>
  <si>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</si>
  <si>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</si>
  <si>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</si>
  <si>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</si>
  <si>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</si>
  <si>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</si>
  <si>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</si>
  <si>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</si>
  <si>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</si>
  <si>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</si>
  <si>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</si>
  <si>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</si>
  <si>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</si>
  <si>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</si>
  <si>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</si>
  <si>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</si>
  <si>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</si>
  <si>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</si>
  <si>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</si>
  <si>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</si>
  <si>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</si>
  <si>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</si>
  <si>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</si>
  <si>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</si>
  <si>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</si>
  <si>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</si>
  <si>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</si>
  <si>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</si>
  <si>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</si>
  <si>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</si>
  <si>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</si>
  <si>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</si>
  <si>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</si>
  <si>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</si>
  <si>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</si>
  <si>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</si>
  <si>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</si>
  <si>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</si>
  <si>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</si>
  <si>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</si>
  <si>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</si>
  <si>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</si>
  <si>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</si>
  <si>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</si>
  <si>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</si>
  <si>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</si>
  <si>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</si>
  <si>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</si>
  <si>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</si>
  <si>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</si>
  <si>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</si>
  <si>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</si>
  <si>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</si>
  <si>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</si>
  <si>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</si>
  <si>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</si>
  <si>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</si>
  <si>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</si>
  <si>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</si>
  <si>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</si>
  <si>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</si>
  <si>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</si>
  <si>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</si>
  <si>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</si>
  <si>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</si>
  <si>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</si>
  <si>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</si>
  <si>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</si>
  <si>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</si>
  <si>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</si>
  <si>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</si>
  <si>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</si>
  <si>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</si>
  <si>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</si>
  <si>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</si>
  <si>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</si>
  <si>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</si>
  <si>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</si>
  <si>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</si>
  <si>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</si>
  <si>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</si>
  <si>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</si>
  <si>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</si>
  <si>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</si>
  <si>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</si>
  <si>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</si>
  <si>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</si>
  <si>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</si>
  <si>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</si>
  <si>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</si>
  <si>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</si>
  <si>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</si>
  <si>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</si>
  <si>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</si>
  <si>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</si>
  <si>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</si>
  <si>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</si>
  <si>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</si>
  <si>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</si>
  <si>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</si>
  <si>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</si>
  <si>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</si>
  <si>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</si>
  <si>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</si>
  <si>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</si>
  <si>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</si>
  <si>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</si>
  <si>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</si>
  <si>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</si>
  <si>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</si>
  <si>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</si>
  <si>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</si>
  <si>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</si>
  <si>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</si>
  <si>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</si>
  <si>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</si>
  <si>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</si>
  <si>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</si>
  <si>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</si>
  <si>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</si>
  <si>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</si>
  <si>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</si>
  <si>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</si>
  <si>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</si>
  <si>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</si>
  <si>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</si>
  <si>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</si>
  <si>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</si>
  <si>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</si>
  <si>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</si>
  <si>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</si>
  <si>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</si>
  <si>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</si>
  <si>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</si>
  <si>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</si>
  <si>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</si>
  <si>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</si>
  <si>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</si>
  <si>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</si>
  <si>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</si>
  <si>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</si>
  <si>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</si>
  <si>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</si>
  <si>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</si>
  <si>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</si>
  <si>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</si>
  <si>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</si>
  <si>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</si>
  <si>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</si>
  <si>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</si>
  <si>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</si>
  <si>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</si>
  <si>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</si>
  <si>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</si>
  <si>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</si>
  <si>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</si>
  <si>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</si>
  <si>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</si>
  <si>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</si>
  <si>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</si>
  <si>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</si>
  <si>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</si>
  <si>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</si>
  <si>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</si>
  <si>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</si>
  <si>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</si>
  <si>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</si>
  <si>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</si>
  <si>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</si>
  <si>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</si>
  <si>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</si>
  <si>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</si>
  <si>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</si>
  <si>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</si>
  <si>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</si>
  <si>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</si>
  <si>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</si>
  <si>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</si>
  <si>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</si>
  <si>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</si>
  <si>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</si>
  <si>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</si>
  <si>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</si>
  <si>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</si>
  <si>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</si>
  <si>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</si>
  <si>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</si>
  <si>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</si>
  <si>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</si>
  <si>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</si>
  <si>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</si>
  <si>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</si>
  <si>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</si>
  <si>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</si>
  <si>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</si>
  <si>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</si>
  <si>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</si>
  <si>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</si>
  <si>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</si>
  <si>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</si>
  <si>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</si>
  <si>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</si>
  <si>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</si>
  <si>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</si>
  <si>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</si>
  <si>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</si>
  <si>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</si>
  <si>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</si>
  <si>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</si>
  <si>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</si>
  <si>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</si>
  <si>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</si>
  <si>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</si>
  <si>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</si>
  <si>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</si>
  <si>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</si>
  <si>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</si>
  <si>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</si>
  <si>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</si>
  <si>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</si>
  <si>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</si>
  <si>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</si>
  <si>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</si>
  <si>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</si>
  <si>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</si>
  <si>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</si>
  <si>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</si>
  <si>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</si>
  <si>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</si>
  <si>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</si>
  <si>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</si>
  <si>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</si>
  <si>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</si>
  <si>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</si>
  <si>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</si>
  <si>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</si>
  <si>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</si>
  <si>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</si>
  <si>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</si>
  <si>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</si>
  <si>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</si>
  <si>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</si>
  <si>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</si>
  <si>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</si>
  <si>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</si>
  <si>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</si>
  <si>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</si>
  <si>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</si>
  <si>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</si>
  <si>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</si>
  <si>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</si>
  <si>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</si>
  <si>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</si>
  <si>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</si>
  <si>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</si>
  <si>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</si>
  <si>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</si>
  <si>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</si>
  <si>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</si>
  <si>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</si>
  <si>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</si>
  <si>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</si>
  <si>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</si>
  <si>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</si>
  <si>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</si>
  <si>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</si>
  <si>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</si>
  <si>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</si>
  <si>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</si>
  <si>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</si>
  <si>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</si>
  <si>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</si>
  <si>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</si>
  <si>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</si>
  <si>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</si>
  <si>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</si>
  <si>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</si>
  <si>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</si>
  <si>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</si>
  <si>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</si>
  <si>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</si>
  <si>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</si>
  <si>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</si>
  <si>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</si>
  <si>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</si>
  <si>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</si>
  <si>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</si>
  <si>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</si>
  <si>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</si>
  <si>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</si>
  <si>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</si>
  <si>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</si>
  <si>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</si>
  <si>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</si>
  <si>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</si>
  <si>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</si>
  <si>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</si>
  <si>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</si>
  <si>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</si>
  <si>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</si>
  <si>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</si>
  <si>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</si>
  <si>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</si>
  <si>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</si>
  <si>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</si>
  <si>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</si>
  <si>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</si>
  <si>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</si>
  <si>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</si>
  <si>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</si>
  <si>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</si>
  <si>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</si>
  <si>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</si>
  <si>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</si>
  <si>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</si>
  <si>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</si>
  <si>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</si>
  <si>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</si>
  <si>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</si>
  <si>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</si>
  <si>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</si>
  <si>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</si>
  <si>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</si>
  <si>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</si>
  <si>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</si>
  <si>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</si>
  <si>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</si>
  <si>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</si>
  <si>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</si>
  <si>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</si>
  <si>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</si>
  <si>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</si>
  <si>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</si>
  <si>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</si>
  <si>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</si>
  <si>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</si>
  <si>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</si>
  <si>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</si>
  <si>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</si>
  <si>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</si>
  <si>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</si>
  <si>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</si>
  <si>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</si>
  <si>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</si>
  <si>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</si>
  <si>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</si>
  <si>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</si>
  <si>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</si>
  <si>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</si>
  <si>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</si>
  <si>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</si>
  <si>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</si>
  <si>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</si>
  <si>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</si>
  <si>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</si>
  <si>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</si>
  <si>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</si>
  <si>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</si>
  <si>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</si>
  <si>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</si>
  <si>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</si>
  <si>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</si>
  <si>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</si>
  <si>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</si>
  <si>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</si>
  <si>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</si>
  <si>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</si>
  <si>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</si>
  <si>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</si>
  <si>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</si>
  <si>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</si>
  <si>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</si>
  <si>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</si>
  <si>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</si>
  <si>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</si>
  <si>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</si>
  <si>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</si>
  <si>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</si>
  <si>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</si>
  <si>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</si>
  <si>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</si>
  <si>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</si>
  <si>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</si>
  <si>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</si>
  <si>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</si>
  <si>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</si>
  <si>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</si>
  <si>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</si>
  <si>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</si>
  <si>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</si>
  <si>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</si>
  <si>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</si>
  <si>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</si>
  <si>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</si>
  <si>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</si>
  <si>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</si>
  <si>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</si>
  <si>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</si>
  <si>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</si>
  <si>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</si>
  <si>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</si>
  <si>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</si>
  <si>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</si>
  <si>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</si>
  <si>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</si>
  <si>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</si>
  <si>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</si>
  <si>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</si>
  <si>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</si>
  <si>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</si>
  <si>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</si>
  <si>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</si>
  <si>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</si>
  <si>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</si>
  <si>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</si>
  <si>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</si>
  <si>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</si>
  <si>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</si>
  <si>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</si>
  <si>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</si>
  <si>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</si>
  <si>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</si>
  <si>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</si>
  <si>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</si>
  <si>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</si>
  <si>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</si>
  <si>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</si>
  <si>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</si>
  <si>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</si>
  <si>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</si>
  <si>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</si>
  <si>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</si>
  <si>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</si>
  <si>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</si>
  <si>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</si>
  <si>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</si>
  <si>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</si>
  <si>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</si>
  <si>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</si>
  <si>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</si>
  <si>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</si>
  <si>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</si>
  <si>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</si>
  <si>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</si>
  <si>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</si>
  <si>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</si>
  <si>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</si>
  <si>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</si>
  <si>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</si>
  <si>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</si>
  <si>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</si>
  <si>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</si>
  <si>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</si>
  <si>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</si>
  <si>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</si>
  <si>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</si>
  <si>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</si>
  <si>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</si>
  <si>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</si>
  <si>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</si>
  <si>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</si>
  <si>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</si>
  <si>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</si>
  <si>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</si>
  <si>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</si>
  <si>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</si>
  <si>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</si>
  <si>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</si>
  <si>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</si>
  <si>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</si>
  <si>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</si>
  <si>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</si>
  <si>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</si>
  <si>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</si>
  <si>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</si>
  <si>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</si>
  <si>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</si>
  <si>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</si>
  <si>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</si>
  <si>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</si>
  <si>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</si>
  <si>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</si>
  <si>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</si>
  <si>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</si>
  <si>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</si>
  <si>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</si>
  <si>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</si>
  <si>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</si>
  <si>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</si>
  <si>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</si>
  <si>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</si>
  <si>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</si>
  <si>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</si>
  <si>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</si>
  <si>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</si>
  <si>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</si>
  <si>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</si>
  <si>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</si>
  <si>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</si>
  <si>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</si>
  <si>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</si>
  <si>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</si>
  <si>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</si>
  <si>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</si>
  <si>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</si>
  <si>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</si>
  <si>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</si>
  <si>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</si>
  <si>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</si>
  <si>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</si>
  <si>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</si>
  <si>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</si>
  <si>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</si>
  <si>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</si>
  <si>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</si>
  <si>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</si>
  <si>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</si>
  <si>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</si>
  <si>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</si>
  <si>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</si>
  <si>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</si>
  <si>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</si>
  <si>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</si>
  <si>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</si>
  <si>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</si>
  <si>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</si>
  <si>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</si>
  <si>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</si>
  <si>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</si>
  <si>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</si>
  <si>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</si>
  <si>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</si>
  <si>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</si>
  <si>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</si>
  <si>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</si>
  <si>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</si>
  <si>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</si>
  <si>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</si>
  <si>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</si>
  <si>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</si>
  <si>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</si>
  <si>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</si>
  <si>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</si>
  <si>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</si>
  <si>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</si>
  <si>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</si>
  <si>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</si>
  <si>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</si>
  <si>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</si>
  <si>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</si>
  <si>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</si>
  <si>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</si>
  <si>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</si>
  <si>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</si>
  <si>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</si>
  <si>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</si>
  <si>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</si>
  <si>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</si>
  <si>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</si>
  <si>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</si>
  <si>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</si>
  <si>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</si>
  <si>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</si>
  <si>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</si>
  <si>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</si>
  <si>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</si>
  <si>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</si>
  <si>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</si>
  <si>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</si>
  <si>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</si>
  <si>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</si>
  <si>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</si>
  <si>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</si>
  <si>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</si>
  <si>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</si>
  <si>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</si>
  <si>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</si>
  <si>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</si>
  <si>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</si>
  <si>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</si>
  <si>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</si>
  <si>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</si>
  <si>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</si>
  <si>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</si>
  <si>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</si>
  <si>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</si>
  <si>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</si>
  <si>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</si>
  <si>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</si>
  <si>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</si>
  <si>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</si>
  <si>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</si>
  <si>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</si>
  <si>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</si>
  <si>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</si>
  <si>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</si>
  <si>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</si>
  <si>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</si>
  <si>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</si>
  <si>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</si>
  <si>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</si>
  <si>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</si>
  <si>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</si>
  <si>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</si>
  <si>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</si>
  <si>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</si>
  <si>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</si>
  <si>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</si>
  <si>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</si>
  <si>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</si>
  <si>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</si>
  <si>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</si>
  <si>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</si>
  <si>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</si>
  <si>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</si>
  <si>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</si>
  <si>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</si>
  <si>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</si>
  <si>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</si>
  <si>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</si>
  <si>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</si>
  <si>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</si>
  <si>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</si>
  <si>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</si>
  <si>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</si>
  <si>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</si>
  <si>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</si>
  <si>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</si>
  <si>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</si>
  <si>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</si>
  <si>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</si>
  <si>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</si>
  <si>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</si>
  <si>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</si>
  <si>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</si>
  <si>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</si>
  <si>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</si>
  <si>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</si>
  <si>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</si>
  <si>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</si>
  <si>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</si>
  <si>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</si>
  <si>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</si>
  <si>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</si>
  <si>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</si>
  <si>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</si>
  <si>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</si>
  <si>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</si>
  <si>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</si>
  <si>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</si>
  <si>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</si>
  <si>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</si>
  <si>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</si>
  <si>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</si>
  <si>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</si>
  <si>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</si>
  <si>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</si>
  <si>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</si>
  <si>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</si>
  <si>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</si>
  <si>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</si>
  <si>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</si>
  <si>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</si>
  <si>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</si>
  <si>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</si>
  <si>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</si>
  <si>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</si>
  <si>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</si>
  <si>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</si>
  <si>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</si>
  <si>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</si>
  <si>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</si>
  <si>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</si>
  <si>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</si>
  <si>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</si>
  <si>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</si>
  <si>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</si>
  <si>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</si>
  <si>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</si>
  <si>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</si>
  <si>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</si>
  <si>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</si>
  <si>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</si>
  <si>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</si>
  <si>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</si>
  <si>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</si>
  <si>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</si>
  <si>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</si>
  <si>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</si>
  <si>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</si>
  <si>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</si>
  <si>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</si>
  <si>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</si>
  <si>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</si>
  <si>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</si>
  <si>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</si>
  <si>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</si>
  <si>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</si>
  <si>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</si>
  <si>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</si>
  <si>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</si>
  <si>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</si>
  <si>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</si>
  <si>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</si>
  <si>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</si>
  <si>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</si>
  <si>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</si>
  <si>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</si>
  <si>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</si>
  <si>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</si>
  <si>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</si>
  <si>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</si>
  <si>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</si>
  <si>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</si>
  <si>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</si>
  <si>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</si>
  <si>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</si>
  <si>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</si>
  <si>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</si>
  <si>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</si>
  <si>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</si>
  <si>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</si>
  <si>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</si>
  <si>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</si>
  <si>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</si>
  <si>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</si>
  <si>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</si>
  <si>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</si>
  <si>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</si>
  <si>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</si>
  <si>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</si>
  <si>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</si>
  <si>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</si>
  <si>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</si>
  <si>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</si>
  <si>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</si>
  <si>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</si>
  <si>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</si>
  <si>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</si>
  <si>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</si>
  <si>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</si>
  <si>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</si>
  <si>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</si>
  <si>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</si>
  <si>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</si>
  <si>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</si>
  <si>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</si>
  <si>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</si>
  <si>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</si>
  <si>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</si>
  <si>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</si>
  <si>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</si>
  <si>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</si>
  <si>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</si>
  <si>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</si>
  <si>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</si>
  <si>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</si>
  <si>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</si>
  <si>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</si>
  <si>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</si>
  <si>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</si>
  <si>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</si>
  <si>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</si>
  <si>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</si>
  <si>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</si>
  <si>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</si>
  <si>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</si>
  <si>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</si>
  <si>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</si>
  <si>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</si>
  <si>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</si>
  <si>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</si>
  <si>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</si>
  <si>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</si>
  <si>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</si>
  <si>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</si>
  <si>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</si>
  <si>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</si>
  <si>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</si>
  <si>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</si>
  <si>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</si>
  <si>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</si>
  <si>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</si>
  <si>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</si>
  <si>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</si>
  <si>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</si>
  <si>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</si>
  <si>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</si>
  <si>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</si>
  <si>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</si>
  <si>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</si>
  <si>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</si>
  <si>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</si>
  <si>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</si>
  <si>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</si>
  <si>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</si>
  <si>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</si>
  <si>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</si>
  <si>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</si>
  <si>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</si>
  <si>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</si>
  <si>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</si>
  <si>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</si>
  <si>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</si>
  <si>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</si>
  <si>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</si>
  <si>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</si>
  <si>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</si>
  <si>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</si>
  <si>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</si>
  <si>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</si>
  <si>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</si>
  <si>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</si>
  <si>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</si>
  <si>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</si>
  <si>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</si>
  <si>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</si>
  <si>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</si>
  <si>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</si>
  <si>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</si>
  <si>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</si>
  <si>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</si>
  <si>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</si>
  <si>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</si>
  <si>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</si>
  <si>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</si>
  <si>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</si>
  <si>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</si>
  <si>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</si>
  <si>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</si>
  <si>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</si>
  <si>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</si>
  <si>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</si>
  <si>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</si>
  <si>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</si>
  <si>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</si>
  <si>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</si>
  <si>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</si>
  <si>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</si>
  <si>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</si>
  <si>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</si>
  <si>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</si>
  <si>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</si>
  <si>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</si>
  <si>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</si>
  <si>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</si>
  <si>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</si>
  <si>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</si>
  <si>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</si>
  <si>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</si>
  <si>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</si>
  <si>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</si>
  <si>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</si>
  <si>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</si>
  <si>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</si>
  <si>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</si>
  <si>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</si>
  <si>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</si>
  <si>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</si>
  <si>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</si>
  <si>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</si>
  <si>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</si>
  <si>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</si>
  <si>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</si>
  <si>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</si>
  <si>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</si>
  <si>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</si>
  <si>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</si>
  <si>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</si>
  <si>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</si>
  <si>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</si>
  <si>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</si>
  <si>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</si>
  <si>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</si>
  <si>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</si>
  <si>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</si>
  <si>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</si>
  <si>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</si>
  <si>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</si>
  <si>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</si>
  <si>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</si>
  <si>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</si>
  <si>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</si>
  <si>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</si>
  <si>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</si>
  <si>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</si>
  <si>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</si>
  <si>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</si>
  <si>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</si>
  <si>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</si>
  <si>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</si>
  <si>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</si>
  <si>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</si>
  <si>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</si>
  <si>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</si>
  <si>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</si>
  <si>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</si>
  <si>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</si>
  <si>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</si>
  <si>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</si>
  <si>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</si>
  <si>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</si>
  <si>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</si>
  <si>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</si>
  <si>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</si>
  <si>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</si>
  <si>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</si>
  <si>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</si>
  <si>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</si>
  <si>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</si>
  <si>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</si>
  <si>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</si>
  <si>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</si>
  <si>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</si>
  <si>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</si>
  <si>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</si>
  <si>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</si>
  <si>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</si>
  <si>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</si>
  <si>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</si>
  <si>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</si>
  <si>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</si>
  <si>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</si>
  <si>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</si>
  <si>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</si>
  <si>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</si>
  <si>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</si>
  <si>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</si>
  <si>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</si>
  <si>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</si>
  <si>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</si>
  <si>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</si>
  <si>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</si>
  <si>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</si>
  <si>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</si>
  <si>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</si>
  <si>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</si>
  <si>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</si>
  <si>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</si>
  <si>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</si>
  <si>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</si>
  <si>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</si>
  <si>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</si>
  <si>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</si>
  <si>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</si>
  <si>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</si>
  <si>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</si>
  <si>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</si>
  <si>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</si>
  <si>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</si>
  <si>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</si>
  <si>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</si>
  <si>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</si>
  <si>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</si>
  <si>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</si>
  <si>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</si>
  <si>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</si>
  <si>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</si>
  <si>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</si>
  <si>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</si>
  <si>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</si>
  <si>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</si>
  <si>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</si>
  <si>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</si>
  <si>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</si>
  <si>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</si>
  <si>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</si>
  <si>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</si>
  <si>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</si>
  <si>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</si>
  <si>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</si>
  <si>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</si>
  <si>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</si>
  <si>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</si>
  <si>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</si>
  <si>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</si>
  <si>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</si>
  <si>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</si>
  <si>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</si>
  <si>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</si>
  <si>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</si>
  <si>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</si>
  <si>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</si>
  <si>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</si>
  <si>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</si>
  <si>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</si>
  <si>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</si>
  <si>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</si>
  <si>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</si>
  <si>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</si>
  <si>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</si>
  <si>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</si>
  <si>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</si>
  <si>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</si>
  <si>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</si>
  <si>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</si>
  <si>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</si>
  <si>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</si>
  <si>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</si>
  <si>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</si>
  <si>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</si>
  <si>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</si>
  <si>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</si>
  <si>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</si>
  <si>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</si>
  <si>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</si>
  <si>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</si>
  <si>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</si>
  <si>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</si>
  <si>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</si>
  <si>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</si>
  <si>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</si>
  <si>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</si>
  <si>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</si>
  <si>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</si>
  <si>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</si>
  <si>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</si>
  <si>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</si>
  <si>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</si>
  <si>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</si>
  <si>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</si>
  <si>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</si>
  <si>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</si>
  <si>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</si>
  <si>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</si>
  <si>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</si>
  <si>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</si>
  <si>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</si>
  <si>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</si>
  <si>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</si>
  <si>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</si>
  <si>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</si>
  <si>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</si>
  <si>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</si>
  <si>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</si>
  <si>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</si>
  <si>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</si>
  <si>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</si>
  <si>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</si>
  <si>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</si>
  <si>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</si>
  <si>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</si>
  <si>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</si>
  <si>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</si>
  <si>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</si>
  <si>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</si>
  <si>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</si>
  <si>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</si>
  <si>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</si>
  <si>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</si>
  <si>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</si>
  <si>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</si>
  <si>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</si>
  <si>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</si>
  <si>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</si>
  <si>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</si>
  <si>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</si>
  <si>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</si>
  <si>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</si>
  <si>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</si>
  <si>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</si>
  <si>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</si>
  <si>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</si>
  <si>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</si>
  <si>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</si>
  <si>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</si>
  <si>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</si>
  <si>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</si>
  <si>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</si>
  <si>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</si>
  <si>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</si>
  <si>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</si>
  <si>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</si>
  <si>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</si>
  <si>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</si>
  <si>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</si>
  <si>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</si>
  <si>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</si>
  <si>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</si>
  <si>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</si>
  <si>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</si>
  <si>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</si>
  <si>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</si>
  <si>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</si>
  <si>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</si>
  <si>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</si>
  <si>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</si>
  <si>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</si>
  <si>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</si>
  <si>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</si>
  <si>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</si>
  <si>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</si>
  <si>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</si>
  <si>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</si>
  <si>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</si>
  <si>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</si>
  <si>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</si>
  <si>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</si>
  <si>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</si>
  <si>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</si>
  <si>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</si>
  <si>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</si>
  <si>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</si>
  <si>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</si>
  <si>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</si>
  <si>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</si>
  <si>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</si>
  <si>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</si>
  <si>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</si>
  <si>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</si>
  <si>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</si>
  <si>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</si>
  <si>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</si>
  <si>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</si>
  <si>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</si>
  <si>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</si>
  <si>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</si>
  <si>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</si>
  <si>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</si>
  <si>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</si>
  <si>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</si>
  <si>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</si>
  <si>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</si>
  <si>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</si>
  <si>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</si>
  <si>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</si>
  <si>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</si>
  <si>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</si>
  <si>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</si>
  <si>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</si>
  <si>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</si>
  <si>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</si>
  <si>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</si>
  <si>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</si>
  <si>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</si>
  <si>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</si>
  <si>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</si>
  <si>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</si>
  <si>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</si>
  <si>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</si>
  <si>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</si>
  <si>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</si>
  <si>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</si>
  <si>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</si>
  <si>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</si>
  <si>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</si>
  <si>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</si>
  <si>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</si>
  <si>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</si>
  <si>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</si>
  <si>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</si>
  <si>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</si>
  <si>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</si>
  <si>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</si>
  <si>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</si>
  <si>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</si>
  <si>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</si>
  <si>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</si>
  <si>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</si>
  <si>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</si>
  <si>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</si>
  <si>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</si>
  <si>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</si>
  <si>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</si>
  <si>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</si>
  <si>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</si>
  <si>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</si>
  <si>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</si>
  <si>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</si>
  <si>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</si>
  <si>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</si>
  <si>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</si>
  <si>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</si>
  <si>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</si>
  <si>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</si>
  <si>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</si>
  <si>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</si>
  <si>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</si>
  <si>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</si>
  <si>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</si>
  <si>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</si>
  <si>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</si>
  <si>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</si>
  <si>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</si>
  <si>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</si>
  <si>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</si>
  <si>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</si>
  <si>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</si>
  <si>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</si>
  <si>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</si>
  <si>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</si>
  <si>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</si>
  <si>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</si>
  <si>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</si>
  <si>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</si>
  <si>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</si>
  <si>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</si>
  <si>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</si>
  <si>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</si>
  <si>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</si>
  <si>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</si>
  <si>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</si>
  <si>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</si>
  <si>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</si>
  <si>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</si>
  <si>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</si>
  <si>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</si>
  <si>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</si>
  <si>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</si>
  <si>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</si>
  <si>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</si>
  <si>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</si>
  <si>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</si>
  <si>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</si>
  <si>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</si>
  <si>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</si>
  <si>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</si>
  <si>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</si>
  <si>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</si>
  <si>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</si>
  <si>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</si>
  <si>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</si>
  <si>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</si>
  <si>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</si>
  <si>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</si>
  <si>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</si>
  <si>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</si>
  <si>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</si>
  <si>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</si>
  <si>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</si>
  <si>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</si>
  <si>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</si>
  <si>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</si>
  <si>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</si>
  <si>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</si>
  <si>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</si>
  <si>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</si>
  <si>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</si>
  <si>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</si>
  <si>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</si>
  <si>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</si>
  <si>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</si>
  <si>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</si>
  <si>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</si>
  <si>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</si>
  <si>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</si>
  <si>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</si>
  <si>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</si>
  <si>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</si>
  <si>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</si>
  <si>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</si>
  <si>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</si>
  <si>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</si>
  <si>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</si>
  <si>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</si>
  <si>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</si>
  <si>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</si>
  <si>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</si>
  <si>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</si>
  <si>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</si>
  <si>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</si>
  <si>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</si>
  <si>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</si>
  <si>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</si>
  <si>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</si>
  <si>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</si>
  <si>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</si>
  <si>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</si>
  <si>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</si>
  <si>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</si>
  <si>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</si>
  <si>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</si>
  <si>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</si>
  <si>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</si>
  <si>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</si>
  <si>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</si>
  <si>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</si>
  <si>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</si>
  <si>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</si>
  <si>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</si>
  <si>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</si>
  <si>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</si>
  <si>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</si>
  <si>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</si>
  <si>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</si>
  <si>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</si>
  <si>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</si>
  <si>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</si>
  <si>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</si>
  <si>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</si>
  <si>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</si>
  <si>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</si>
  <si>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</si>
  <si>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</si>
  <si>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</si>
  <si>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</si>
  <si>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</si>
  <si>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</si>
  <si>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</si>
  <si>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</si>
  <si>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</si>
  <si>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</si>
  <si>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</si>
  <si>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</si>
  <si>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</si>
  <si>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</si>
  <si>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</si>
  <si>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</si>
  <si>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</si>
  <si>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</si>
  <si>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</si>
  <si>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</si>
  <si>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</si>
  <si>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</si>
  <si>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</si>
  <si>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</si>
  <si>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</si>
  <si>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</si>
  <si>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</si>
  <si>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</si>
  <si>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</si>
  <si>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</si>
  <si>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</si>
  <si>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</si>
  <si>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</si>
  <si>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</si>
  <si>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</si>
  <si>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</si>
  <si>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</si>
  <si>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</si>
  <si>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</si>
  <si>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</si>
  <si>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</si>
  <si>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</si>
  <si>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</si>
  <si>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</si>
  <si>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</si>
  <si>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</si>
  <si>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</si>
  <si>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</si>
  <si>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</si>
  <si>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</si>
  <si>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</si>
  <si>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</si>
  <si>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</si>
  <si>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</si>
  <si>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</si>
  <si>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</si>
  <si>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</si>
  <si>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</si>
  <si>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</si>
  <si>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</si>
  <si>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</si>
  <si>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</si>
  <si>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</si>
  <si>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</si>
  <si>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</si>
  <si>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</si>
  <si>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</si>
  <si>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</si>
  <si>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</si>
  <si>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</si>
  <si>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</si>
  <si>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</si>
  <si>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</si>
  <si>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</si>
  <si>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</si>
  <si>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</si>
  <si>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</si>
  <si>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</si>
  <si>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</si>
  <si>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</si>
  <si>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</si>
  <si>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</si>
  <si>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</si>
  <si>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</si>
  <si>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</si>
  <si>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</si>
  <si>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</si>
  <si>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</si>
  <si>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</si>
  <si>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</si>
  <si>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</si>
  <si>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</si>
  <si>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</si>
  <si>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</si>
  <si>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</si>
  <si>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</si>
  <si>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</si>
  <si>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</si>
  <si>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</si>
  <si>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</si>
  <si>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</si>
  <si>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</si>
  <si>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</si>
  <si>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</si>
  <si>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</si>
  <si>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</si>
  <si>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</si>
  <si>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</si>
  <si>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</si>
  <si>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</si>
  <si>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</si>
  <si>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</si>
  <si>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</si>
  <si>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</si>
  <si>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</si>
  <si>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</si>
  <si>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</si>
  <si>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</si>
  <si>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</si>
  <si>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</si>
  <si>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</si>
  <si>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</si>
  <si>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</si>
  <si>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</si>
  <si>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</si>
  <si>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</si>
  <si>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</si>
  <si>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</si>
  <si>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</si>
  <si>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</si>
  <si>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</si>
  <si>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</si>
  <si>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</si>
  <si>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</si>
  <si>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</si>
  <si>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</si>
  <si>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</si>
  <si>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</si>
  <si>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</si>
  <si>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</si>
  <si>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</si>
  <si>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</si>
  <si>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</si>
  <si>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</si>
  <si>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</si>
  <si>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</si>
  <si>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</si>
  <si>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</si>
  <si>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</si>
  <si>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</si>
  <si>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</si>
  <si>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</si>
  <si>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</si>
  <si>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</si>
  <si>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</si>
  <si>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</si>
  <si>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</si>
  <si>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</si>
  <si>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</si>
  <si>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</si>
  <si>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</si>
  <si>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</si>
  <si>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</si>
  <si>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</si>
  <si>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</si>
  <si>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</si>
  <si>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</si>
  <si>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</si>
  <si>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</si>
  <si>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</si>
  <si>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</si>
  <si>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</si>
  <si>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</si>
  <si>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</si>
  <si>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</si>
  <si>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</si>
  <si>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</si>
  <si>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</si>
  <si>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</si>
  <si>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</si>
  <si>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</si>
  <si>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</si>
  <si>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</si>
  <si>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</si>
  <si>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</si>
  <si>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</si>
  <si>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</si>
  <si>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</si>
  <si>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</si>
  <si>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</si>
  <si>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</si>
  <si>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</si>
  <si>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</si>
  <si>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</si>
  <si>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</si>
  <si>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</si>
  <si>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</si>
  <si>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</si>
  <si>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</si>
  <si>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</si>
  <si>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</si>
  <si>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</si>
  <si>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</si>
  <si>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</si>
  <si>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</si>
  <si>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</si>
  <si>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</si>
  <si>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</si>
  <si>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</si>
  <si>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</si>
  <si>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</si>
  <si>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</si>
  <si>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</si>
  <si>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</si>
  <si>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</si>
  <si>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</si>
  <si>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</si>
  <si>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</si>
  <si>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</si>
  <si>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</si>
  <si>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</si>
  <si>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</si>
  <si>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</si>
  <si>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</si>
  <si>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</si>
  <si>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</si>
  <si>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</si>
  <si>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</si>
  <si>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</si>
  <si>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</si>
  <si>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</si>
  <si>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</si>
  <si>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</si>
  <si>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</si>
  <si>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</si>
  <si>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</si>
  <si>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</si>
  <si>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</si>
  <si>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</si>
  <si>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</si>
  <si>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</si>
  <si>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</si>
  <si>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</si>
  <si>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</si>
  <si>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</si>
  <si>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</si>
  <si>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</si>
  <si>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</si>
  <si>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</si>
  <si>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</si>
  <si>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</si>
  <si>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</si>
  <si>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</si>
  <si>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</si>
  <si>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</si>
  <si>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</si>
  <si>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</si>
  <si>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</si>
  <si>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</si>
  <si>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</si>
  <si>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</si>
  <si>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</si>
  <si>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</si>
  <si>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</si>
  <si>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</si>
  <si>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</si>
  <si>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</si>
  <si>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</si>
  <si>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</si>
  <si>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</si>
  <si>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</si>
  <si>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</si>
  <si>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</si>
  <si>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</si>
  <si>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</si>
  <si>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</si>
  <si>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</si>
  <si>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</si>
  <si>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</si>
  <si>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</si>
  <si>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</si>
  <si>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</si>
  <si>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</si>
  <si>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</si>
  <si>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</si>
  <si>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</si>
  <si>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</si>
  <si>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</si>
  <si>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</si>
  <si>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</si>
  <si>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</si>
  <si>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</si>
  <si>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</si>
  <si>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</si>
  <si>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</si>
  <si>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</si>
  <si>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</si>
  <si>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</si>
  <si>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</si>
  <si>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</si>
  <si>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</si>
  <si>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</si>
  <si>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</si>
  <si>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</si>
  <si>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</si>
  <si>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</si>
  <si>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</si>
  <si>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</si>
  <si>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</si>
  <si>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</si>
  <si>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</si>
  <si>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</si>
  <si>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</si>
  <si>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</si>
  <si>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</si>
  <si>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</si>
  <si>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</si>
  <si>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</si>
  <si>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</si>
  <si>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</si>
  <si>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</si>
  <si>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</si>
  <si>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</si>
  <si>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</si>
  <si>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</si>
  <si>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</si>
  <si>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</si>
  <si>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</si>
  <si>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</si>
  <si>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</si>
  <si>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</si>
  <si>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</si>
  <si>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</si>
  <si>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</si>
  <si>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</si>
  <si>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</si>
  <si>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</si>
  <si>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</si>
  <si>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</si>
  <si>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</si>
  <si>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</si>
  <si>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</si>
  <si>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</si>
  <si>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</si>
  <si>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</si>
  <si>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</si>
  <si>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</si>
  <si>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</si>
  <si>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</si>
  <si>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</si>
  <si>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</si>
  <si>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</si>
  <si>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</si>
  <si>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</si>
  <si>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</si>
  <si>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</si>
  <si>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</si>
  <si>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</si>
  <si>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</si>
  <si>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</si>
  <si>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</si>
  <si>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</si>
  <si>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</si>
  <si>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</si>
  <si>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</si>
  <si>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</si>
  <si>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</si>
  <si>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</si>
  <si>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</si>
  <si>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</si>
  <si>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</si>
  <si>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</si>
  <si>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</si>
  <si>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</si>
  <si>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</si>
  <si>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</si>
  <si>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</si>
  <si>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</si>
  <si>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</si>
  <si>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</si>
  <si>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</si>
  <si>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</si>
  <si>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</si>
  <si>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</si>
  <si>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</si>
  <si>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</si>
  <si>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</si>
  <si>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</si>
  <si>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</si>
  <si>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</si>
  <si>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</si>
  <si>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</si>
  <si>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</si>
  <si>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</si>
  <si>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</si>
  <si>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</si>
  <si>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</si>
  <si>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</si>
  <si>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</si>
  <si>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</si>
  <si>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</si>
  <si>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</si>
  <si>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</si>
  <si>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</si>
  <si>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</si>
  <si>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</si>
  <si>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</si>
  <si>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</si>
  <si>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</si>
  <si>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</si>
  <si>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</si>
  <si>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</si>
  <si>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</si>
  <si>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</si>
  <si>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</si>
  <si>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</si>
  <si>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</si>
  <si>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</si>
  <si>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</si>
  <si>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</si>
  <si>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</si>
  <si>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</si>
  <si>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</si>
  <si>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</si>
  <si>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</si>
  <si>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</si>
  <si>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</si>
  <si>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</si>
  <si>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</si>
  <si>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</si>
  <si>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</si>
  <si>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</si>
  <si>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</si>
  <si>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</si>
  <si>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</si>
  <si>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</si>
  <si>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</si>
  <si>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</si>
  <si>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</si>
  <si>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</si>
  <si>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</si>
  <si>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</si>
  <si>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</si>
  <si>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</si>
  <si>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</si>
  <si>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</si>
  <si>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</si>
  <si>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</si>
  <si>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</si>
  <si>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</si>
  <si>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</si>
  <si>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</si>
  <si>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</si>
  <si>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</si>
  <si>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</si>
  <si>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</si>
  <si>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</si>
  <si>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</si>
  <si>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</si>
  <si>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</si>
  <si>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</si>
  <si>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</si>
  <si>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</si>
  <si>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</si>
  <si>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</si>
  <si>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</si>
  <si>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</si>
  <si>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</si>
  <si>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</si>
  <si>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</si>
  <si>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</si>
  <si>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</si>
  <si>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</si>
  <si>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</si>
  <si>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</si>
  <si>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</si>
  <si>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</si>
  <si>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</si>
  <si>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</si>
  <si>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</si>
  <si>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</si>
  <si>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</si>
  <si>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</si>
  <si>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</si>
  <si>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</si>
  <si>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</si>
  <si>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</si>
  <si>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</si>
  <si>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</si>
  <si>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</si>
  <si>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</si>
  <si>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</si>
  <si>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</si>
  <si>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</si>
  <si>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</si>
  <si>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</si>
  <si>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</si>
  <si>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</si>
  <si>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</si>
  <si>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</si>
  <si>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</si>
  <si>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</si>
  <si>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</si>
  <si>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</si>
  <si>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</si>
  <si>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</si>
  <si>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</si>
  <si>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</si>
  <si>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</si>
  <si>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</si>
  <si>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</si>
  <si>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</si>
  <si>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</si>
  <si>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</si>
  <si>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</si>
  <si>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</si>
  <si>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</si>
  <si>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</si>
  <si>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</si>
  <si>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</si>
  <si>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</si>
  <si>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</si>
  <si>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</si>
  <si>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</si>
  <si>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</si>
  <si>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</si>
  <si>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</si>
  <si>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</si>
  <si>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</si>
  <si>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</si>
  <si>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</si>
  <si>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</si>
  <si>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</si>
  <si>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</si>
  <si>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</si>
  <si>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</si>
  <si>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</si>
  <si>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</si>
  <si>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</si>
  <si>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</si>
  <si>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</si>
  <si>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</si>
  <si>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</si>
  <si>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</si>
  <si>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</si>
  <si>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</si>
  <si>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</si>
  <si>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</si>
  <si>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</si>
  <si>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</si>
  <si>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</si>
  <si>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</si>
  <si>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</si>
  <si>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</si>
  <si>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</si>
  <si>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</si>
  <si>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</si>
  <si>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</si>
  <si>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</si>
  <si>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</si>
  <si>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</si>
  <si>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</si>
  <si>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</si>
  <si>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</si>
  <si>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</si>
  <si>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</si>
  <si>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</si>
  <si>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</si>
  <si>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</si>
  <si>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</si>
  <si>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</si>
  <si>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</si>
  <si>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</si>
  <si>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</si>
  <si>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</si>
  <si>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</si>
  <si>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</si>
  <si>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</si>
  <si>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</si>
  <si>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</si>
  <si>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</si>
  <si>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</si>
  <si>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</si>
  <si>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</si>
  <si>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</si>
  <si>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</si>
  <si>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</si>
  <si>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</si>
  <si>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</si>
  <si>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</si>
  <si>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</si>
  <si>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</si>
  <si>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</si>
  <si>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</si>
  <si>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</si>
  <si>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</si>
  <si>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</si>
  <si>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</si>
  <si>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</si>
  <si>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</si>
  <si>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</si>
  <si>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</si>
  <si>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</si>
  <si>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</si>
  <si>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</si>
  <si>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</si>
  <si>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</si>
  <si>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</si>
  <si>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</si>
  <si>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</si>
  <si>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</si>
  <si>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</si>
  <si>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</si>
  <si>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</si>
  <si>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</si>
  <si>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</si>
  <si>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</si>
  <si>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</si>
  <si>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</si>
  <si>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</si>
  <si>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</si>
  <si>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</si>
  <si>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</si>
  <si>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</si>
  <si>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</si>
  <si>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</si>
  <si>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</si>
  <si>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</si>
  <si>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</si>
  <si>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</si>
  <si>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</si>
  <si>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</si>
  <si>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</si>
  <si>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</si>
  <si>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</si>
  <si>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</si>
  <si>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</si>
  <si>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</si>
  <si>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</si>
  <si>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</si>
  <si>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</si>
  <si>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</si>
  <si>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</si>
  <si>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</si>
  <si>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</si>
  <si>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</si>
  <si>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</si>
  <si>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</si>
  <si>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</si>
  <si>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</si>
  <si>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</si>
  <si>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</si>
  <si>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</si>
  <si>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</si>
  <si>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</si>
  <si>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</si>
  <si>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</si>
  <si>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</si>
  <si>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</si>
  <si>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</si>
  <si>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</si>
  <si>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</si>
  <si>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</si>
  <si>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</si>
  <si>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</si>
  <si>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</si>
  <si>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</si>
  <si>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</si>
  <si>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</si>
  <si>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</si>
  <si>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</si>
  <si>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</si>
  <si>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</si>
  <si>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</si>
  <si>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</si>
  <si>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</si>
  <si>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</si>
  <si>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</si>
  <si>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</si>
  <si>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</si>
  <si>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</si>
  <si>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</si>
  <si>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</si>
  <si>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</si>
  <si>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</si>
  <si>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</si>
  <si>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</si>
  <si>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</si>
  <si>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</si>
  <si>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</si>
  <si>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</si>
  <si>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</si>
  <si>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</si>
  <si>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</si>
  <si>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</si>
  <si>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</si>
  <si>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</si>
  <si>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</si>
  <si>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</si>
  <si>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</si>
  <si>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</si>
  <si>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</si>
  <si>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</si>
  <si>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</si>
  <si>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</si>
  <si>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</si>
  <si>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</si>
  <si>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</si>
  <si>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</si>
  <si>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</si>
  <si>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</si>
  <si>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</si>
  <si>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</si>
  <si>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</si>
  <si>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</si>
  <si>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</si>
  <si>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</si>
  <si>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</si>
  <si>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</si>
  <si>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</si>
  <si>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</si>
  <si>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</si>
  <si>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</si>
  <si>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</si>
  <si>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</si>
  <si>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</si>
  <si>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</si>
  <si>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</si>
  <si>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</si>
  <si>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</si>
  <si>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</si>
  <si>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</si>
  <si>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</si>
  <si>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</si>
  <si>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</si>
  <si>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</si>
  <si>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</si>
  <si>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</si>
  <si>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</si>
  <si>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</si>
  <si>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</si>
  <si>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</si>
  <si>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</si>
  <si>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</si>
  <si>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</si>
  <si>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</si>
  <si>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</si>
  <si>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</si>
  <si>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</si>
  <si>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</si>
  <si>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</si>
  <si>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</si>
  <si>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</si>
  <si>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</si>
  <si>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</si>
  <si>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</si>
  <si>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</si>
  <si>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</si>
  <si>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</si>
  <si>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</si>
  <si>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</si>
  <si>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</si>
  <si>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</si>
  <si>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</si>
  <si>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</si>
  <si>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</si>
  <si>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</si>
  <si>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</si>
  <si>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</si>
  <si>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</si>
  <si>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</si>
  <si>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</si>
  <si>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</si>
  <si>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</si>
  <si>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</si>
  <si>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</si>
  <si>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</si>
  <si>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</si>
  <si>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</si>
  <si>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</si>
  <si>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</si>
  <si>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</si>
  <si>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</si>
  <si>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</si>
  <si>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</si>
  <si>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</si>
  <si>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</si>
  <si>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</si>
  <si>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</si>
  <si>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</si>
  <si>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</si>
  <si>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</si>
  <si>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</si>
  <si>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</si>
  <si>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</si>
  <si>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</si>
  <si>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</si>
  <si>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</si>
  <si>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</si>
  <si>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</si>
  <si>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</si>
  <si>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</si>
  <si>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</si>
  <si>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</si>
  <si>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</si>
  <si>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</si>
  <si>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</si>
  <si>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</si>
  <si>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</si>
  <si>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</si>
  <si>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</si>
  <si>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</si>
  <si>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</si>
  <si>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</si>
  <si>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</si>
  <si>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</si>
  <si>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</si>
  <si>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</si>
  <si>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</si>
  <si>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</si>
  <si>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</si>
  <si>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</si>
  <si>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</si>
  <si>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</si>
  <si>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</si>
  <si>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</si>
  <si>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</si>
  <si>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</si>
  <si>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</si>
  <si>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</si>
  <si>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</si>
  <si>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</si>
  <si>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</si>
  <si>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</si>
  <si>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</si>
  <si>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</si>
  <si>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</si>
  <si>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</si>
  <si>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</si>
  <si>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</si>
  <si>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</si>
  <si>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</si>
  <si>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</si>
  <si>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</si>
  <si>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</si>
  <si>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</si>
  <si>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</si>
  <si>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</si>
  <si>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</si>
  <si>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</si>
  <si>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</si>
  <si>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</si>
  <si>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</si>
  <si>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</si>
  <si>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</si>
  <si>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</si>
  <si>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</si>
  <si>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</si>
  <si>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</si>
  <si>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</si>
  <si>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</si>
  <si>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</si>
  <si>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</si>
  <si>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</si>
  <si>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</si>
  <si>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</si>
  <si>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</si>
  <si>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</si>
  <si>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</si>
  <si>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</si>
  <si>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</si>
  <si>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</si>
  <si>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</si>
  <si>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</si>
  <si>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</si>
  <si>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</si>
  <si>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</si>
  <si>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</si>
  <si>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</si>
  <si>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</si>
  <si>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</si>
  <si>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</si>
  <si>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</si>
  <si>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</si>
  <si>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</si>
  <si>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</si>
  <si>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</si>
  <si>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</si>
  <si>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</si>
  <si>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</si>
  <si>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</si>
  <si>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</si>
  <si>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</si>
  <si>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</si>
  <si>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</si>
  <si>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</si>
  <si>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</si>
  <si>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</si>
  <si>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</si>
  <si>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</si>
  <si>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</si>
  <si>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</si>
  <si>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</si>
  <si>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</si>
  <si>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</si>
  <si>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</si>
  <si>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</si>
  <si>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</si>
  <si>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</si>
  <si>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</si>
  <si>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</si>
  <si>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</si>
  <si>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</si>
  <si>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</si>
  <si>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</si>
  <si>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</si>
  <si>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</si>
  <si>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</si>
  <si>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</si>
  <si>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</si>
  <si>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</si>
  <si>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</si>
  <si>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</si>
  <si>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</si>
  <si>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</si>
  <si>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</si>
  <si>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</si>
  <si>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</si>
  <si>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</si>
  <si>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</si>
  <si>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</si>
  <si>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</si>
  <si>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</si>
  <si>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</si>
  <si>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</si>
  <si>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</si>
  <si>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</si>
  <si>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</si>
  <si>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</si>
  <si>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</si>
  <si>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</si>
  <si>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</si>
  <si>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</si>
  <si>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</si>
  <si>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</si>
  <si>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</si>
  <si>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</si>
  <si>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</si>
  <si>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</si>
  <si>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</si>
  <si>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</si>
  <si>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</si>
  <si>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</si>
  <si>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</si>
  <si>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</si>
  <si>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</si>
  <si>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</si>
  <si>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</si>
  <si>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</si>
  <si>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</si>
  <si>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</si>
  <si>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</si>
  <si>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</si>
  <si>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</si>
  <si>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</si>
  <si>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</si>
  <si>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</si>
  <si>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</si>
  <si>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</si>
  <si>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</si>
  <si>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</si>
  <si>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</si>
  <si>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</si>
  <si>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</si>
  <si>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</si>
  <si>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</si>
  <si>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</si>
  <si>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</si>
  <si>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</si>
  <si>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</si>
  <si>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</si>
  <si>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</si>
  <si>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</si>
  <si>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</si>
  <si>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</si>
  <si>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</si>
  <si>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</si>
  <si>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</si>
  <si>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</si>
  <si>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</si>
  <si>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</si>
  <si>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</si>
  <si>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</si>
  <si>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</si>
  <si>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</si>
  <si>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</si>
  <si>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</si>
  <si>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</si>
  <si>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</si>
  <si>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</si>
  <si>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</si>
  <si>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</si>
  <si>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</si>
  <si>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</si>
  <si>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</si>
  <si>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</si>
  <si>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</si>
  <si>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</si>
  <si>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</si>
  <si>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</si>
  <si>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</si>
  <si>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</si>
  <si>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</si>
  <si>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</si>
  <si>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</si>
  <si>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</si>
  <si>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</si>
  <si>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</si>
  <si>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</si>
  <si>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</si>
  <si>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</si>
  <si>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</si>
  <si>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</si>
  <si>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</si>
  <si>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</si>
  <si>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</si>
  <si>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</si>
  <si>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</si>
  <si>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</si>
  <si>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</si>
  <si>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</si>
  <si>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</si>
  <si>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</si>
  <si>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</si>
  <si>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</si>
  <si>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</si>
  <si>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</si>
  <si>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</si>
  <si>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</si>
  <si>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</si>
  <si>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</si>
  <si>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</si>
  <si>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</si>
  <si>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</si>
  <si>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</si>
  <si>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</si>
  <si>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</si>
  <si>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</si>
  <si>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</si>
  <si>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</si>
  <si>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</si>
  <si>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</si>
  <si>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</si>
  <si>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</si>
  <si>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</si>
  <si>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</si>
  <si>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</si>
  <si>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</si>
  <si>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</si>
  <si>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</si>
  <si>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</si>
  <si>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</si>
  <si>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</si>
  <si>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</si>
  <si>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</si>
  <si>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</si>
  <si>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</si>
  <si>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</si>
  <si>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</si>
  <si>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</si>
  <si>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</si>
  <si>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</si>
  <si>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</si>
  <si>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</si>
  <si>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</si>
  <si>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</si>
  <si>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</si>
  <si>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</si>
  <si>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</si>
  <si>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</si>
  <si>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</si>
  <si>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</si>
  <si>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</si>
  <si>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</si>
  <si>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</si>
  <si>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</si>
  <si>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</si>
  <si>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</si>
  <si>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</si>
  <si>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</si>
  <si>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</si>
  <si>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</si>
  <si>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</si>
  <si>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</si>
  <si>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</si>
  <si>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</si>
  <si>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</si>
  <si>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</si>
  <si>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</si>
  <si>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</si>
  <si>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</si>
  <si>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</si>
  <si>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</si>
  <si>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</si>
  <si>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</si>
  <si>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</si>
  <si>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</si>
  <si>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</si>
  <si>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</si>
  <si>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</si>
  <si>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</si>
  <si>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</si>
  <si>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</si>
  <si>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</si>
  <si>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</si>
  <si>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</si>
  <si>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</si>
  <si>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</si>
  <si>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</si>
  <si>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</si>
  <si>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</si>
  <si>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</si>
  <si>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</si>
  <si>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</si>
  <si>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</si>
  <si>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</si>
  <si>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</si>
  <si>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</si>
  <si>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</si>
  <si>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</si>
  <si>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</si>
  <si>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</si>
  <si>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</si>
  <si>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</si>
  <si>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</si>
  <si>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</si>
  <si>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</si>
  <si>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</si>
  <si>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</si>
  <si>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</si>
  <si>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</si>
  <si>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</si>
  <si>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</si>
  <si>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</si>
  <si>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</si>
  <si>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</si>
  <si>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</si>
  <si>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</si>
  <si>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</si>
  <si>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</si>
  <si>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</si>
  <si>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</si>
  <si>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</si>
  <si>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</si>
  <si>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</si>
  <si>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</si>
  <si>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</si>
  <si>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</si>
  <si>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</si>
  <si>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</si>
  <si>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</si>
  <si>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</si>
  <si>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</si>
  <si>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</si>
  <si>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</si>
  <si>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</si>
  <si>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</si>
  <si>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</si>
  <si>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</si>
  <si>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</si>
  <si>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</si>
  <si>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</si>
  <si>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</si>
  <si>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</si>
  <si>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</si>
  <si>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</si>
  <si>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</si>
  <si>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</si>
  <si>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</si>
  <si>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</si>
  <si>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</si>
  <si>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</si>
  <si>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</si>
  <si>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</si>
  <si>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</si>
  <si>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</si>
  <si>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</si>
  <si>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</si>
  <si>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</si>
  <si>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</si>
  <si>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</si>
  <si>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</si>
  <si>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</si>
  <si>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</si>
  <si>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</si>
  <si>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</si>
  <si>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</si>
  <si>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</si>
  <si>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</si>
  <si>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</si>
  <si>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</si>
  <si>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</si>
  <si>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</si>
  <si>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</si>
  <si>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</si>
  <si>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</si>
  <si>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</si>
  <si>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</si>
  <si>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</si>
  <si>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</si>
  <si>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</si>
  <si>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</si>
  <si>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</si>
  <si>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</si>
  <si>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</si>
  <si>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</si>
  <si>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</si>
  <si>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</si>
  <si>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</si>
  <si>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</si>
  <si>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</si>
  <si>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</si>
  <si>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</si>
  <si>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</si>
  <si>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</si>
  <si>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</si>
  <si>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</si>
  <si>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</si>
  <si>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</si>
  <si>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</si>
  <si>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</si>
  <si>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</si>
  <si>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</si>
  <si>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</si>
  <si>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</si>
  <si>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</si>
  <si>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</si>
  <si>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</si>
  <si>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</si>
  <si>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</si>
  <si>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</si>
  <si>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</si>
  <si>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</si>
  <si>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</si>
  <si>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</si>
  <si>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</si>
  <si>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</si>
  <si>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</si>
  <si>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</si>
  <si>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</si>
  <si>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</si>
  <si>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</si>
  <si>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</si>
  <si>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</si>
  <si>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</si>
  <si>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</si>
  <si>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</si>
  <si>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</si>
  <si>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</si>
  <si>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</si>
  <si>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</si>
  <si>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</si>
  <si>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</si>
  <si>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</si>
  <si>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</si>
  <si>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</si>
  <si>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</si>
  <si>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</si>
  <si>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</si>
  <si>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</si>
  <si>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</si>
  <si>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</si>
  <si>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</si>
  <si>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</si>
  <si>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</si>
  <si>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</si>
  <si>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</si>
  <si>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</si>
  <si>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</si>
  <si>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</si>
  <si>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</si>
  <si>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</si>
  <si>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</si>
  <si>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</si>
  <si>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</si>
  <si>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</si>
  <si>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</si>
  <si>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</si>
  <si>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</si>
  <si>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</si>
  <si>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</si>
  <si>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</si>
  <si>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</si>
  <si>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</si>
  <si>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</si>
  <si>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</si>
  <si>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</si>
  <si>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</si>
  <si>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</si>
  <si>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</si>
  <si>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</si>
  <si>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</si>
  <si>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</si>
  <si>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</si>
  <si>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</si>
  <si>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</si>
  <si>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</si>
  <si>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</si>
  <si>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</si>
  <si>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</si>
  <si>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</si>
  <si>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</si>
  <si>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</si>
  <si>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</si>
  <si>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</si>
  <si>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</si>
  <si>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</si>
  <si>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</si>
  <si>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</si>
  <si>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</si>
  <si>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</si>
  <si>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</si>
  <si>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</si>
  <si>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</si>
  <si>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</si>
  <si>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</si>
  <si>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</si>
  <si>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</si>
  <si>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</si>
  <si>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</si>
  <si>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</si>
  <si>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</si>
  <si>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</si>
  <si>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</si>
  <si>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</si>
  <si>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</si>
  <si>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</si>
  <si>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</si>
  <si>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</si>
  <si>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</si>
  <si>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</si>
  <si>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</si>
  <si>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</si>
  <si>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</si>
  <si>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</si>
  <si>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</si>
  <si>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</si>
  <si>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</si>
  <si>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</si>
  <si>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</si>
  <si>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</si>
  <si>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</si>
  <si>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</si>
  <si>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</si>
  <si>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</si>
  <si>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</si>
  <si>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</si>
  <si>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</si>
  <si>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</si>
  <si>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</si>
  <si>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</si>
  <si>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</si>
  <si>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</si>
  <si>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</si>
  <si>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</si>
  <si>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</si>
  <si>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</si>
  <si>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</si>
  <si>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</si>
  <si>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</si>
  <si>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</si>
  <si>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</si>
  <si>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</si>
  <si>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</si>
  <si>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</si>
  <si>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</si>
  <si>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</si>
  <si>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</si>
  <si>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</si>
  <si>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</si>
  <si>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</si>
  <si>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</si>
  <si>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</si>
  <si>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</si>
  <si>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</si>
  <si>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</si>
  <si>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</si>
  <si>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</si>
  <si>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</si>
  <si>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</si>
  <si>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</si>
  <si>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</si>
  <si>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</si>
  <si>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</si>
  <si>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</si>
  <si>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</si>
  <si>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</si>
  <si>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</si>
  <si>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</si>
  <si>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</si>
  <si>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</si>
  <si>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</si>
  <si>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</si>
  <si>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</si>
  <si>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</si>
  <si>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</si>
  <si>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</si>
  <si>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</si>
  <si>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</si>
  <si>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</si>
  <si>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</si>
  <si>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</si>
  <si>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</si>
  <si>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</si>
  <si>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</si>
  <si>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</si>
  <si>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</si>
  <si>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</si>
  <si>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</si>
  <si>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</si>
  <si>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</si>
  <si>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</si>
  <si>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</si>
  <si>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</si>
  <si>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</si>
  <si>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</si>
  <si>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</si>
  <si>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</si>
  <si>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</si>
  <si>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</si>
  <si>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</si>
  <si>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</si>
  <si>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</si>
  <si>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</si>
  <si>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</si>
  <si>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</si>
  <si>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</si>
  <si>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</si>
  <si>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</si>
  <si>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</si>
  <si>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</si>
  <si>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</si>
  <si>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</si>
  <si>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</si>
  <si>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</si>
  <si>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</si>
  <si>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</si>
  <si>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</si>
  <si>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</si>
  <si>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</si>
  <si>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</si>
  <si>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</si>
  <si>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</si>
  <si>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</si>
  <si>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</si>
  <si>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</si>
  <si>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</si>
  <si>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</si>
  <si>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</si>
  <si>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</si>
  <si>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</si>
  <si>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</si>
  <si>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</si>
  <si>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</si>
  <si>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</si>
  <si>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</si>
  <si>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</si>
  <si>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</si>
  <si>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</si>
  <si>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</si>
  <si>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</si>
  <si>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</si>
  <si>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</si>
  <si>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</si>
  <si>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</si>
  <si>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</si>
  <si>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</si>
  <si>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</si>
  <si>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</si>
  <si>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</si>
  <si>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</si>
  <si>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</si>
  <si>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</si>
  <si>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</si>
  <si>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</si>
  <si>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</si>
  <si>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</si>
  <si>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</si>
  <si>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</si>
  <si>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</si>
  <si>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</si>
  <si>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</si>
  <si>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</si>
  <si>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</si>
  <si>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</si>
  <si>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</si>
  <si>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</si>
  <si>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</si>
  <si>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</si>
  <si>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</si>
  <si>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</si>
  <si>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</si>
  <si>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</si>
  <si>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</si>
  <si>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</si>
  <si>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</si>
  <si>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</si>
  <si>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</si>
  <si>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</si>
  <si>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</si>
  <si>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</si>
  <si>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</si>
  <si>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</si>
  <si>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</si>
  <si>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</si>
  <si>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</si>
  <si>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</si>
  <si>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</si>
  <si>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</si>
  <si>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</si>
  <si>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</si>
  <si>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</si>
  <si>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</si>
  <si>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</si>
  <si>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</si>
  <si>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</si>
  <si>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</si>
  <si>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</si>
  <si>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</si>
  <si>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</si>
  <si>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</si>
  <si>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</si>
  <si>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</si>
  <si>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</si>
  <si>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</si>
  <si>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</si>
  <si>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</si>
  <si>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</si>
  <si>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</si>
  <si>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</si>
  <si>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</si>
  <si>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</si>
  <si>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</si>
  <si>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</si>
  <si>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</si>
  <si>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</si>
  <si>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</si>
  <si>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</si>
  <si>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</si>
  <si>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</si>
  <si>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</si>
  <si>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</si>
  <si>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</si>
  <si>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</si>
  <si>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</si>
  <si>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</si>
  <si>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</si>
  <si>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</si>
  <si>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</si>
  <si>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</si>
  <si>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</si>
  <si>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</si>
  <si>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</si>
  <si>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</si>
  <si>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</si>
  <si>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</si>
  <si>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</si>
  <si>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</si>
  <si>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</si>
  <si>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</si>
  <si>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</si>
  <si>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</si>
  <si>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</si>
  <si>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</si>
  <si>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</si>
  <si>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</si>
  <si>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</si>
  <si>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</si>
  <si>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</si>
  <si>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</si>
  <si>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</si>
  <si>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</si>
  <si>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</si>
  <si>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</si>
  <si>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</si>
  <si>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</si>
  <si>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</si>
  <si>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</si>
  <si>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</si>
  <si>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</si>
  <si>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</si>
  <si>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</si>
  <si>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</si>
  <si>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</si>
  <si>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</si>
  <si>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</si>
  <si>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</si>
  <si>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</si>
  <si>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</si>
  <si>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</si>
  <si>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</si>
  <si>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</si>
  <si>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</si>
  <si>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</si>
  <si>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</si>
  <si>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</si>
  <si>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</si>
  <si>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</si>
  <si>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</si>
  <si>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</si>
  <si>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</si>
  <si>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</si>
  <si>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</si>
  <si>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</si>
  <si>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</si>
  <si>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</si>
  <si>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</si>
  <si>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</si>
  <si>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</si>
  <si>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</si>
  <si>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</si>
  <si>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</si>
  <si>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</si>
  <si>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</si>
  <si>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</si>
  <si>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</si>
  <si>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</si>
  <si>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</si>
  <si>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</si>
  <si>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</si>
  <si>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</si>
  <si>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</si>
  <si>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</si>
  <si>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</si>
  <si>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</si>
  <si>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</si>
  <si>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</si>
  <si>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</si>
  <si>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</si>
  <si>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</si>
  <si>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</si>
  <si>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</si>
  <si>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</si>
  <si>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</si>
  <si>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</si>
  <si>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</si>
  <si>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</si>
  <si>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</si>
  <si>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</si>
  <si>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</si>
  <si>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</si>
  <si>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</si>
  <si>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</si>
  <si>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</si>
  <si>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</si>
  <si>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</si>
  <si>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</si>
  <si>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</si>
  <si>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</si>
  <si>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</si>
  <si>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</si>
  <si>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</si>
  <si>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</si>
  <si>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</si>
  <si>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</si>
  <si>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</si>
  <si>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</si>
  <si>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</si>
  <si>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</si>
  <si>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</si>
  <si>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</si>
  <si>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</si>
  <si>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</si>
  <si>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</si>
  <si>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</si>
  <si>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</si>
  <si>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</si>
  <si>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</si>
  <si>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</si>
  <si>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</si>
  <si>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</si>
  <si>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</si>
  <si>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</si>
  <si>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</si>
  <si>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</si>
  <si>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</si>
  <si>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</si>
  <si>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</si>
  <si>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</si>
  <si>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</si>
  <si>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</si>
  <si>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</si>
  <si>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</si>
  <si>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</si>
  <si>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</si>
  <si>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</si>
  <si>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</si>
  <si>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</si>
  <si>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</si>
  <si>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</si>
  <si>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</si>
  <si>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</si>
  <si>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</si>
  <si>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</si>
  <si>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</si>
  <si>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</si>
  <si>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</si>
  <si>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</si>
  <si>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</si>
  <si>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</si>
  <si>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</si>
  <si>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</si>
  <si>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</si>
  <si>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</si>
  <si>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</si>
  <si>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</si>
  <si>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</si>
  <si>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</si>
  <si>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</si>
  <si>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</si>
  <si>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</si>
  <si>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</si>
  <si>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</si>
  <si>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</si>
  <si>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</si>
  <si>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</si>
  <si>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</si>
  <si>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</si>
  <si>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</si>
  <si>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</si>
  <si>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</si>
  <si>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</si>
  <si>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</si>
  <si>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</si>
  <si>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</si>
  <si>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</si>
  <si>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</si>
  <si>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</si>
  <si>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</si>
  <si>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</si>
  <si>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</si>
  <si>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</si>
  <si>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</si>
  <si>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</si>
  <si>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</si>
  <si>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</si>
  <si>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</si>
  <si>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</si>
  <si>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</si>
  <si>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</si>
  <si>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</si>
  <si>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</si>
  <si>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</si>
  <si>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</si>
  <si>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</si>
  <si>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</si>
  <si>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</si>
  <si>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</si>
  <si>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</si>
  <si>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</si>
  <si>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</si>
  <si>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</si>
  <si>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</si>
  <si>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</si>
  <si>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</si>
  <si>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</si>
  <si>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</si>
  <si>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</si>
  <si>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</si>
  <si>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</si>
  <si>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</si>
  <si>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</si>
  <si>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</si>
  <si>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</si>
  <si>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</si>
  <si>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</si>
  <si>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</si>
  <si>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</si>
  <si>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</si>
  <si>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</si>
  <si>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</si>
  <si>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</si>
  <si>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</si>
  <si>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</si>
  <si>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</si>
  <si>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</si>
  <si>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</si>
  <si>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</si>
  <si>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</si>
  <si>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</si>
  <si>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</si>
  <si>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</si>
  <si>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</si>
  <si>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</si>
  <si>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</si>
  <si>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</si>
  <si>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</si>
  <si>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</si>
  <si>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</si>
  <si>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</si>
  <si>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</si>
  <si>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</si>
  <si>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</si>
  <si>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</si>
  <si>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</si>
  <si>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</si>
  <si>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</si>
  <si>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</si>
  <si>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</si>
  <si>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</si>
  <si>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</si>
  <si>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</si>
  <si>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</si>
  <si>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</si>
  <si>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</si>
  <si>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</si>
  <si>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</si>
  <si>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</si>
  <si>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</si>
  <si>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</si>
  <si>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</si>
  <si>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</si>
  <si>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</si>
  <si>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</si>
  <si>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</si>
  <si>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</si>
  <si>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</si>
  <si>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</si>
  <si>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</si>
  <si>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</si>
  <si>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</si>
  <si>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</si>
  <si>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</si>
  <si>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</si>
  <si>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</si>
  <si>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</si>
  <si>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</si>
  <si>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</si>
  <si>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</si>
  <si>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</si>
  <si>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</si>
  <si>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</si>
  <si>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</si>
  <si>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</si>
  <si>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</si>
  <si>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</si>
  <si>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</si>
  <si>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</si>
  <si>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</si>
  <si>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</si>
  <si>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</si>
  <si>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</si>
  <si>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</si>
  <si>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</si>
  <si>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</si>
  <si>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</si>
  <si>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</si>
  <si>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</si>
  <si>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</si>
  <si>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</si>
  <si>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</si>
  <si>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</si>
  <si>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</si>
  <si>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</si>
  <si>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</si>
  <si>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</si>
  <si>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</si>
  <si>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</si>
  <si>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</si>
  <si>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</si>
  <si>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</si>
  <si>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</si>
  <si>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</si>
  <si>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</si>
  <si>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</si>
  <si>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</si>
  <si>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</si>
  <si>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</si>
  <si>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</si>
  <si>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</si>
  <si>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</si>
  <si>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</si>
  <si>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</si>
  <si>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</si>
  <si>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</si>
  <si>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</si>
  <si>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</si>
  <si>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</si>
  <si>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</si>
  <si>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</si>
  <si>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</si>
  <si>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</si>
  <si>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</si>
  <si>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</si>
  <si>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</si>
  <si>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</si>
  <si>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</si>
  <si>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</si>
  <si>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</si>
  <si>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</si>
  <si>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</si>
  <si>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</si>
  <si>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</si>
  <si>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</si>
  <si>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</si>
  <si>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</si>
  <si>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</si>
  <si>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</si>
  <si>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</si>
  <si>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</si>
  <si>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</si>
  <si>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</si>
  <si>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</si>
  <si>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</si>
  <si>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</si>
  <si>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</si>
  <si>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</si>
  <si>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</si>
  <si>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</si>
  <si>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</si>
  <si>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</si>
  <si>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</si>
  <si>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</si>
  <si>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</si>
  <si>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</si>
  <si>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</si>
  <si>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</si>
  <si>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</si>
  <si>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</si>
  <si>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</si>
  <si>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</si>
  <si>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</si>
  <si>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</si>
  <si>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</si>
  <si>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</si>
  <si>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</si>
  <si>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</si>
  <si>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</si>
  <si>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</si>
  <si>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</si>
  <si>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</si>
  <si>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</si>
  <si>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</si>
  <si>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</si>
  <si>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</si>
  <si>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</si>
  <si>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</si>
  <si>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</si>
  <si>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</si>
  <si>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</si>
  <si>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</si>
  <si>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</si>
  <si>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</si>
  <si>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</si>
  <si>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</si>
  <si>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</si>
  <si>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</si>
  <si>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</si>
  <si>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</si>
  <si>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</si>
  <si>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</si>
  <si>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</si>
  <si>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</si>
  <si>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</si>
  <si>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</si>
  <si>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</si>
  <si>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</si>
  <si>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</si>
  <si>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</si>
  <si>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</si>
  <si>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</si>
  <si>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</si>
  <si>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</si>
  <si>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</si>
  <si>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</si>
  <si>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</si>
  <si>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</si>
  <si>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</si>
  <si>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</si>
  <si>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</si>
  <si>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</si>
  <si>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</si>
  <si>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</si>
  <si>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</si>
  <si>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</si>
  <si>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</si>
  <si>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</si>
  <si>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</si>
  <si>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</si>
  <si>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</si>
  <si>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</si>
  <si>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</si>
  <si>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</si>
  <si>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</si>
  <si>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</si>
  <si>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</si>
  <si>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</si>
  <si>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</si>
  <si>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</si>
  <si>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</si>
  <si>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</si>
  <si>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</si>
  <si>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</si>
  <si>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</si>
  <si>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</si>
  <si>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</si>
  <si>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</si>
  <si>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</si>
  <si>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</si>
  <si>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</si>
  <si>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</si>
  <si>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</si>
  <si>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</si>
  <si>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</si>
  <si>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</si>
  <si>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</si>
  <si>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</si>
  <si>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</si>
  <si>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</si>
  <si>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</si>
  <si>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</si>
  <si>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</si>
  <si>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</si>
  <si>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</si>
  <si>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</si>
  <si>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</si>
  <si>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</si>
  <si>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</si>
  <si>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</si>
  <si>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</si>
  <si>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</si>
  <si>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</si>
  <si>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</si>
  <si>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</si>
  <si>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</si>
  <si>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</si>
  <si>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</si>
  <si>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</si>
  <si>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</si>
  <si>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</si>
  <si>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</si>
  <si>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</si>
  <si>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</si>
  <si>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</si>
  <si>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</si>
  <si>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</si>
  <si>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</si>
  <si>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</si>
  <si>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</si>
  <si>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</si>
  <si>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</si>
  <si>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</si>
  <si>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</si>
  <si>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</si>
  <si>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</si>
  <si>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</si>
  <si>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</si>
  <si>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</si>
  <si>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</si>
  <si>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</si>
  <si>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</si>
  <si>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</si>
  <si>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</si>
  <si>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</si>
  <si>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</si>
  <si>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</si>
  <si>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</si>
  <si>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</si>
  <si>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</si>
  <si>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</si>
  <si>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</si>
  <si>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</si>
  <si>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</si>
  <si>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</si>
  <si>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</si>
  <si>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</si>
  <si>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</si>
  <si>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</si>
  <si>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</si>
  <si>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</si>
  <si>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</si>
  <si>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</si>
  <si>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</si>
  <si>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</si>
  <si>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</si>
  <si>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</si>
  <si>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</si>
  <si>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</si>
  <si>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</si>
  <si>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</si>
  <si>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</si>
  <si>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</si>
  <si>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</si>
  <si>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</si>
  <si>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</si>
  <si>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</si>
  <si>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</si>
  <si>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</si>
  <si>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</si>
  <si>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</si>
  <si>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</si>
  <si>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</si>
  <si>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</si>
  <si>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</si>
  <si>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</si>
  <si>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</si>
  <si>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</si>
  <si>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</si>
  <si>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</si>
  <si>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</si>
  <si>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</si>
  <si>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</si>
  <si>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</si>
  <si>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</si>
  <si>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</si>
  <si>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</si>
  <si>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</si>
  <si>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</si>
  <si>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</si>
  <si>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</si>
  <si>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</si>
  <si>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</si>
  <si>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</si>
  <si>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</si>
  <si>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</si>
  <si>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</si>
  <si>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</si>
  <si>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</si>
  <si>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</si>
  <si>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</si>
  <si>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</si>
  <si>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</si>
  <si>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</si>
  <si>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</si>
  <si>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</si>
  <si>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</si>
  <si>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</si>
  <si>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</si>
  <si>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</si>
  <si>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</si>
  <si>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</si>
  <si>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</si>
  <si>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</si>
  <si>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</si>
  <si>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</si>
  <si>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</si>
  <si>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</si>
  <si>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</si>
  <si>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</si>
  <si>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</si>
  <si>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</si>
  <si>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</si>
  <si>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</si>
  <si>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</si>
  <si>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</si>
  <si>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</si>
  <si>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</si>
  <si>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</si>
  <si>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</si>
  <si>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</si>
  <si>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</si>
  <si>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</si>
  <si>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</si>
  <si>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</si>
  <si>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</si>
  <si>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</si>
  <si>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</si>
  <si>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</si>
  <si>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</si>
  <si>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</si>
  <si>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</si>
  <si>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</si>
  <si>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</si>
  <si>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</si>
  <si>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</si>
  <si>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</si>
  <si>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</si>
  <si>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</si>
  <si>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</si>
  <si>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</si>
  <si>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</si>
  <si>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</si>
  <si>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</si>
  <si>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</si>
  <si>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</si>
  <si>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</si>
  <si>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</si>
  <si>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</si>
  <si>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</si>
  <si>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</si>
  <si>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</si>
  <si>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</si>
  <si>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</si>
  <si>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</si>
  <si>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</si>
  <si>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</si>
  <si>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</si>
  <si>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</si>
  <si>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</si>
  <si>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</si>
  <si>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</si>
  <si>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</si>
  <si>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</si>
  <si>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</si>
  <si>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</si>
  <si>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</si>
  <si>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</si>
  <si>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</si>
  <si>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</si>
  <si>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</si>
  <si>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</si>
  <si>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</si>
  <si>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</si>
  <si>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</si>
  <si>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</si>
  <si>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</si>
  <si>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</si>
  <si>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</si>
  <si>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</si>
  <si>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</si>
  <si>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</si>
  <si>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</si>
  <si>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</si>
  <si>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</si>
  <si>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</si>
  <si>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</si>
  <si>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</si>
  <si>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</si>
  <si>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</si>
  <si>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</si>
  <si>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</si>
  <si>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</si>
  <si>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</si>
  <si>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</si>
  <si>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</si>
  <si>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</si>
  <si>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</si>
  <si>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</si>
  <si>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</si>
  <si>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</si>
  <si>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</si>
  <si>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</si>
  <si>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</si>
  <si>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</si>
  <si>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</si>
  <si>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</si>
  <si>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</si>
  <si>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</si>
  <si>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</si>
  <si>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</si>
  <si>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</si>
  <si>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</si>
  <si>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</si>
  <si>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</si>
  <si>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</si>
  <si>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</si>
  <si>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</si>
  <si>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</si>
  <si>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</si>
  <si>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</si>
  <si>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</si>
  <si>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</si>
  <si>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</si>
  <si>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</si>
  <si>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</si>
  <si>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</si>
  <si>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</si>
  <si>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</si>
  <si>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</si>
  <si>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</si>
  <si>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</si>
  <si>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</si>
  <si>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</si>
  <si>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</si>
  <si>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</si>
  <si>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</si>
  <si>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</si>
  <si>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</si>
  <si>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</si>
  <si>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</si>
  <si>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</si>
  <si>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</si>
  <si>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</si>
  <si>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</si>
  <si>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</si>
  <si>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</si>
  <si>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</si>
  <si>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</si>
  <si>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</si>
  <si>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</si>
  <si>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</si>
  <si>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</si>
  <si>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</si>
  <si>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</si>
  <si>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</si>
  <si>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</si>
  <si>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</si>
  <si>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</si>
  <si>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</si>
  <si>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</si>
  <si>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</si>
  <si>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</si>
  <si>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</si>
  <si>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</si>
  <si>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</si>
  <si>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</si>
  <si>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</si>
  <si>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</si>
  <si>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</si>
  <si>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</si>
  <si>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</si>
  <si>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</si>
  <si>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</si>
  <si>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</si>
  <si>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</si>
  <si>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</si>
  <si>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</si>
  <si>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</si>
  <si>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</si>
  <si>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</si>
  <si>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</si>
  <si>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</si>
  <si>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</si>
  <si>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</si>
  <si>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</si>
  <si>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</si>
  <si>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</si>
  <si>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</si>
  <si>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</si>
  <si>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</si>
  <si>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</si>
  <si>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</si>
  <si>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</si>
  <si>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</si>
  <si>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</si>
  <si>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</si>
  <si>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</si>
  <si>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</si>
  <si>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</si>
  <si>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</si>
  <si>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</si>
  <si>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</si>
  <si>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</si>
  <si>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</si>
  <si>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</si>
  <si>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</si>
  <si>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</si>
  <si>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</si>
  <si>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</si>
  <si>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</si>
  <si>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</si>
  <si>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</si>
  <si>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</si>
  <si>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</si>
  <si>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</si>
  <si>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</si>
  <si>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</si>
  <si>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</si>
  <si>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</si>
  <si>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</si>
  <si>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</si>
  <si>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</si>
  <si>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</si>
  <si>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</si>
  <si>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</si>
  <si>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</si>
  <si>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</si>
  <si>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</si>
  <si>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</si>
  <si>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</si>
  <si>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</si>
  <si>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</si>
  <si>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</si>
  <si>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</si>
  <si>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</si>
  <si>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</si>
  <si>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</si>
  <si>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</si>
  <si>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</si>
  <si>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</si>
  <si>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</si>
  <si>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</si>
  <si>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</si>
  <si>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</si>
  <si>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</si>
  <si>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</si>
  <si>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</si>
  <si>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</si>
  <si>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</si>
  <si>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</si>
  <si>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</si>
  <si>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</si>
  <si>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</si>
  <si>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</si>
  <si>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</si>
  <si>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</si>
  <si>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</si>
  <si>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</si>
  <si>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</si>
  <si>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</si>
  <si>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</si>
  <si>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</si>
  <si>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</si>
  <si>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</si>
  <si>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</si>
  <si>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</si>
  <si>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</si>
  <si>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</si>
  <si>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</si>
  <si>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</si>
  <si>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</si>
  <si>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</si>
  <si>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</si>
  <si>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</si>
  <si>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</si>
  <si>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</si>
  <si>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</si>
  <si>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</si>
  <si>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</si>
  <si>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</si>
  <si>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</si>
  <si>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</si>
  <si>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</si>
  <si>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</si>
  <si>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</si>
  <si>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</si>
  <si>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</si>
  <si>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</si>
  <si>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</si>
  <si>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</si>
  <si>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</si>
  <si>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</si>
  <si>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</si>
  <si>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</si>
  <si>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</si>
  <si>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</si>
  <si>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</si>
  <si>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</si>
  <si>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</si>
  <si>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</si>
  <si>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</si>
  <si>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</si>
  <si>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</si>
  <si>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</si>
  <si>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</si>
  <si>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</si>
  <si>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</si>
  <si>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</si>
  <si>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</si>
  <si>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</si>
  <si>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</si>
  <si>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</si>
  <si>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</si>
  <si>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</si>
  <si>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</si>
  <si>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</si>
  <si>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</si>
  <si>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</si>
  <si>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</si>
  <si>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</si>
  <si>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</si>
  <si>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</si>
  <si>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</si>
  <si>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</si>
  <si>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</si>
  <si>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</si>
  <si>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</si>
  <si>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</si>
  <si>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</si>
  <si>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</si>
  <si>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</si>
  <si>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</si>
  <si>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</si>
  <si>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</si>
  <si>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</si>
  <si>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</si>
  <si>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</si>
  <si>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</si>
  <si>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</si>
  <si>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</si>
  <si>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</si>
  <si>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</si>
  <si>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</si>
  <si>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</si>
  <si>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</si>
  <si>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</si>
  <si>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</si>
  <si>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</si>
  <si>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</si>
  <si>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</si>
  <si>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</si>
  <si>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</si>
  <si>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</si>
  <si>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</si>
  <si>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</si>
  <si>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</si>
  <si>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</si>
  <si>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</si>
  <si>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</si>
  <si>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</si>
  <si>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</si>
  <si>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</si>
  <si>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</si>
  <si>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</si>
  <si>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</si>
  <si>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</si>
  <si>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</si>
  <si>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</si>
  <si>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</si>
  <si>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</si>
  <si>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</si>
  <si>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</si>
  <si>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</si>
  <si>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</si>
  <si>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</si>
  <si>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</si>
  <si>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</si>
  <si>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</si>
  <si>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</si>
  <si>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</si>
  <si>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</si>
  <si>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</si>
  <si>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</si>
  <si>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</si>
  <si>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</si>
  <si>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</si>
  <si>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</si>
  <si>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</si>
  <si>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</si>
  <si>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</si>
  <si>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</si>
  <si>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</si>
  <si>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</si>
  <si>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</si>
  <si>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</si>
  <si>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</si>
  <si>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</si>
  <si>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</si>
  <si>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</si>
  <si>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</si>
  <si>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</si>
  <si>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</si>
  <si>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</si>
  <si>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</si>
  <si>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</si>
  <si>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</si>
  <si>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</si>
  <si>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</si>
  <si>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</si>
  <si>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</si>
  <si>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</si>
  <si>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</si>
  <si>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</si>
  <si>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</si>
  <si>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</si>
  <si>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</si>
  <si>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</si>
  <si>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</si>
  <si>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</si>
  <si>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</si>
  <si>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</si>
  <si>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</si>
  <si>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</si>
  <si>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</si>
  <si>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</si>
  <si>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</si>
  <si>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</si>
  <si>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</si>
  <si>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</si>
  <si>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</si>
  <si>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</si>
  <si>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</si>
  <si>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</si>
  <si>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</si>
  <si>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</si>
  <si>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</si>
  <si>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</si>
  <si>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</si>
  <si>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</si>
  <si>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</si>
  <si>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</si>
  <si>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</si>
  <si>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</si>
  <si>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</si>
  <si>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</si>
  <si>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</si>
  <si>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</si>
  <si>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</si>
  <si>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</si>
  <si>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</si>
  <si>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</si>
  <si>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</si>
  <si>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</si>
  <si>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</si>
  <si>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</si>
  <si>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</si>
  <si>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</si>
  <si>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</si>
  <si>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</si>
  <si>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</si>
  <si>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</si>
  <si>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</si>
  <si>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</si>
  <si>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</si>
  <si>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</si>
  <si>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</si>
  <si>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</si>
  <si>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</si>
  <si>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</si>
  <si>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</si>
  <si>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</si>
  <si>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</si>
  <si>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</si>
  <si>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</si>
  <si>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</si>
  <si>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</si>
  <si>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</si>
  <si>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</si>
  <si>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</si>
  <si>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</si>
  <si>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</si>
  <si>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</si>
  <si>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</si>
  <si>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</si>
  <si>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</si>
  <si>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</si>
  <si>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</si>
  <si>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</si>
  <si>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</si>
  <si>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</si>
  <si>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</si>
  <si>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</si>
  <si>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</si>
  <si>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</si>
  <si>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</si>
  <si>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</si>
  <si>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</si>
  <si>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</si>
  <si>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</si>
  <si>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</si>
  <si>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</si>
  <si>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</si>
  <si>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</si>
  <si>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</si>
  <si>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</si>
  <si>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</si>
  <si>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</si>
  <si>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</si>
  <si>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</si>
  <si>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</si>
  <si>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</si>
  <si>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</si>
  <si>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</si>
  <si>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</si>
  <si>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</si>
  <si>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</si>
  <si>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</si>
  <si>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</si>
  <si>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</si>
  <si>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</si>
  <si>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</si>
  <si>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</si>
  <si>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</si>
  <si>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</si>
  <si>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</si>
  <si>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</si>
  <si>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</si>
  <si>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</si>
  <si>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</si>
  <si>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</si>
  <si>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</si>
  <si>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</si>
  <si>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</si>
  <si>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</si>
  <si>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</si>
  <si>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</si>
  <si>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</si>
  <si>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</si>
  <si>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</si>
  <si>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</si>
  <si>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</si>
  <si>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</si>
  <si>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</si>
  <si>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</si>
  <si>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</si>
  <si>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</si>
  <si>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</si>
  <si>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</si>
  <si>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</si>
  <si>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</si>
  <si>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</si>
  <si>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</si>
  <si>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</si>
  <si>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</si>
  <si>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</si>
  <si>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</si>
  <si>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</si>
  <si>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</si>
  <si>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</si>
  <si>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</si>
  <si>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</si>
  <si>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</si>
  <si>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</si>
  <si>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</si>
  <si>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</si>
  <si>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</si>
  <si>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</si>
  <si>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</si>
  <si>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</si>
  <si>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</si>
  <si>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</si>
  <si>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</si>
  <si>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</si>
  <si>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</si>
  <si>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</si>
  <si>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</si>
  <si>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</si>
  <si>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</si>
  <si>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</si>
  <si>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</si>
  <si>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</si>
  <si>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</si>
  <si>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</si>
  <si>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</si>
  <si>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</si>
  <si>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</si>
  <si>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</si>
  <si>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</si>
  <si>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</si>
  <si>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</si>
  <si>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</si>
  <si>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</si>
  <si>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</si>
  <si>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</si>
  <si>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</si>
  <si>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</si>
  <si>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</si>
  <si>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</si>
  <si>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</si>
  <si>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</si>
  <si>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</si>
  <si>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</si>
  <si>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</si>
  <si>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</si>
  <si>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</si>
  <si>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</si>
  <si>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</si>
  <si>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</si>
  <si>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</si>
  <si>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</si>
  <si>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</si>
  <si>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</si>
  <si>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</si>
  <si>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</si>
  <si>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</si>
  <si>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</si>
  <si>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</si>
  <si>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</si>
  <si>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</si>
  <si>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</si>
  <si>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</si>
  <si>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</si>
  <si>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</si>
  <si>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</si>
  <si>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</si>
  <si>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</si>
  <si>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</si>
  <si>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</si>
  <si>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</si>
  <si>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</si>
  <si>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</si>
  <si>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</si>
  <si>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</si>
  <si>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</si>
  <si>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</si>
  <si>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</si>
  <si>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</si>
  <si>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</si>
  <si>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</si>
  <si>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</si>
  <si>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</si>
  <si>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</si>
  <si>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</si>
  <si>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</si>
  <si>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</si>
  <si>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</si>
  <si>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</si>
  <si>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</si>
  <si>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</si>
  <si>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</si>
  <si>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</si>
  <si>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</si>
  <si>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</si>
  <si>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</si>
  <si>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</si>
  <si>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</si>
  <si>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</si>
  <si>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</si>
  <si>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</si>
  <si>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</si>
  <si>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</si>
  <si>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</si>
  <si>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</si>
  <si>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</si>
  <si>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</si>
  <si>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</si>
  <si>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</si>
  <si>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</si>
  <si>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</si>
  <si>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</si>
  <si>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</si>
  <si>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</si>
  <si>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</si>
  <si>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</si>
  <si>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</si>
  <si>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</si>
  <si>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</si>
  <si>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</si>
  <si>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</si>
  <si>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</si>
  <si>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</si>
  <si>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</si>
  <si>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</si>
  <si>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</si>
  <si>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</si>
  <si>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</si>
  <si>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</si>
  <si>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</si>
  <si>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</si>
  <si>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</si>
  <si>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</si>
  <si>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</si>
  <si>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</si>
  <si>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</si>
  <si>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</si>
  <si>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</si>
  <si>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</si>
  <si>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</si>
  <si>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</si>
  <si>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</si>
  <si>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</si>
  <si>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</si>
  <si>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</si>
  <si>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</si>
  <si>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</si>
  <si>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</si>
  <si>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</si>
  <si>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</si>
  <si>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</si>
  <si>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</si>
  <si>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</si>
  <si>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</si>
  <si>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</si>
  <si>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</si>
  <si>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</si>
  <si>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</si>
  <si>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</si>
  <si>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</si>
  <si>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</si>
  <si>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</si>
  <si>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</si>
  <si>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</si>
  <si>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</si>
  <si>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</si>
  <si>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</si>
  <si>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</si>
  <si>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</si>
  <si>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</si>
  <si>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</si>
  <si>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</si>
  <si>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</si>
  <si>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</si>
  <si>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</si>
  <si>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</si>
  <si>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</si>
  <si>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</si>
  <si>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</si>
  <si>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</si>
  <si>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</si>
  <si>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</si>
  <si>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</si>
  <si>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</si>
  <si>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</si>
  <si>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</si>
  <si>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</si>
  <si>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</si>
  <si>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</si>
  <si>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</si>
  <si>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</si>
  <si>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</si>
  <si>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</si>
  <si>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</si>
  <si>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</si>
  <si>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</si>
  <si>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</si>
  <si>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</si>
  <si>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</si>
  <si>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</si>
  <si>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</si>
  <si>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</si>
  <si>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</si>
  <si>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</si>
  <si>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</si>
  <si>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</si>
  <si>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</si>
  <si>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</si>
  <si>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</si>
  <si>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</si>
  <si>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</si>
  <si>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</si>
  <si>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</si>
  <si>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</si>
  <si>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</si>
  <si>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</si>
  <si>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</si>
  <si>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</si>
  <si>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</si>
  <si>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</si>
  <si>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</si>
  <si>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</si>
  <si>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</si>
  <si>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</si>
  <si>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</si>
  <si>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</si>
  <si>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</si>
  <si>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</si>
  <si>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</si>
  <si>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</si>
  <si>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</si>
  <si>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</si>
  <si>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</si>
  <si>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</si>
  <si>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</si>
  <si>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</si>
  <si>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</si>
  <si>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</si>
  <si>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</si>
  <si>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</si>
  <si>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</si>
  <si>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</si>
  <si>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</si>
  <si>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</si>
  <si>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</si>
  <si>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</si>
  <si>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</si>
  <si>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</si>
  <si>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</si>
  <si>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</si>
  <si>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</si>
  <si>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</si>
  <si>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</si>
  <si>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</si>
  <si>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</si>
  <si>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</si>
  <si>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</si>
  <si>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</si>
  <si>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</si>
  <si>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</si>
  <si>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</si>
  <si>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</si>
  <si>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</si>
  <si>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</si>
  <si>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</si>
  <si>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</si>
  <si>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</si>
  <si>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</si>
  <si>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</si>
  <si>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</si>
  <si>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</si>
  <si>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</si>
  <si>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</si>
  <si>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</si>
  <si>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</si>
  <si>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</si>
  <si>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</si>
  <si>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</si>
  <si>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</si>
  <si>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</si>
  <si>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</si>
  <si>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</si>
  <si>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</si>
  <si>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</si>
  <si>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</si>
  <si>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</si>
  <si>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</si>
  <si>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</si>
  <si>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</si>
  <si>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</si>
  <si>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</si>
  <si>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</si>
  <si>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</si>
  <si>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</si>
  <si>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</si>
  <si>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</si>
  <si>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</si>
  <si>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</si>
  <si>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</si>
  <si>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</si>
  <si>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</si>
  <si>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</si>
  <si>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</si>
  <si>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</si>
  <si>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</si>
  <si>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</si>
  <si>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</si>
  <si>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</si>
  <si>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</si>
  <si>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</si>
  <si>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</si>
  <si>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</si>
  <si>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</si>
  <si>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</si>
  <si>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</si>
  <si>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</si>
  <si>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</si>
  <si>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</si>
  <si>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</si>
  <si>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</si>
  <si>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</si>
  <si>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</si>
  <si>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</si>
  <si>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</si>
  <si>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</si>
  <si>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</si>
  <si>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</si>
  <si>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</si>
  <si>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</si>
  <si>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</si>
  <si>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</si>
  <si>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</si>
  <si>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</si>
  <si>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</si>
  <si>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</si>
  <si>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</si>
  <si>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</si>
  <si>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</si>
  <si>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</si>
  <si>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</si>
  <si>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</si>
  <si>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</si>
  <si>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</si>
  <si>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</si>
  <si>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</si>
  <si>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</si>
  <si>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</si>
  <si>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</si>
  <si>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</si>
  <si>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</si>
  <si>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</si>
  <si>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</si>
  <si>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</si>
  <si>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</si>
  <si>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</si>
  <si>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</si>
  <si>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</si>
  <si>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</si>
  <si>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</si>
  <si>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</si>
  <si>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</si>
  <si>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</si>
  <si>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</si>
  <si>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</si>
  <si>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</si>
  <si>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</si>
  <si>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</si>
  <si>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</si>
  <si>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</si>
  <si>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</si>
  <si>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</si>
  <si>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</si>
  <si>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</si>
  <si>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</si>
  <si>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</si>
  <si>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</si>
  <si>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</si>
  <si>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</si>
  <si>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</si>
  <si>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</si>
  <si>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</si>
  <si>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</si>
  <si>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</si>
  <si>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</si>
  <si>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</si>
  <si>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</si>
  <si>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</si>
  <si>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</si>
  <si>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</si>
  <si>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</si>
  <si>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</si>
  <si>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</si>
  <si>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</si>
  <si>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</si>
  <si>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</si>
  <si>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</si>
  <si>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</si>
  <si>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</si>
  <si>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</si>
  <si>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</si>
  <si>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</si>
  <si>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</si>
  <si>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</si>
  <si>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</si>
  <si>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</si>
  <si>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</si>
  <si>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</si>
  <si>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</si>
  <si>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</si>
  <si>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</si>
  <si>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</si>
  <si>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</si>
  <si>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</si>
  <si>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</si>
  <si>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</si>
  <si>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</si>
  <si>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</si>
  <si>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</si>
  <si>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</si>
  <si>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</si>
  <si>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</si>
  <si>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</si>
  <si>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</si>
  <si>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</si>
  <si>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</si>
  <si>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</si>
  <si>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</si>
  <si>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</si>
  <si>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</si>
  <si>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</si>
  <si>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</si>
  <si>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</si>
  <si>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</si>
  <si>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</si>
  <si>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</si>
  <si>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</si>
  <si>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</si>
  <si>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</si>
  <si>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</si>
  <si>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</si>
  <si>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</si>
  <si>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</si>
  <si>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</si>
  <si>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</si>
  <si>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</si>
  <si>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</si>
  <si>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</si>
  <si>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</si>
  <si>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</si>
  <si>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</si>
  <si>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</si>
  <si>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</si>
  <si>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</si>
  <si>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</si>
  <si>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</si>
  <si>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</si>
  <si>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</si>
  <si>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</si>
  <si>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</si>
  <si>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</si>
  <si>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</si>
  <si>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</si>
  <si>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</si>
  <si>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</si>
  <si>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</si>
  <si>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</si>
  <si>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</si>
  <si>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</si>
  <si>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</si>
  <si>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</si>
  <si>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</si>
  <si>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</si>
  <si>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</si>
  <si>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</si>
  <si>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</si>
  <si>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</si>
  <si>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</si>
  <si>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</si>
  <si>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</si>
  <si>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</si>
  <si>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</si>
  <si>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</si>
  <si>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</si>
  <si>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</si>
  <si>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</si>
  <si>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</si>
  <si>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</si>
  <si>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</si>
  <si>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</si>
  <si>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</si>
  <si>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</si>
  <si>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</si>
  <si>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</si>
  <si>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</si>
  <si>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</si>
  <si>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</si>
  <si>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</si>
  <si>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</si>
  <si>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</si>
  <si>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</si>
  <si>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</si>
  <si>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</si>
  <si>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</si>
  <si>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</si>
  <si>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</si>
  <si>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</si>
  <si>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</si>
  <si>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</si>
  <si>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</si>
  <si>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</si>
  <si>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</si>
  <si>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</si>
  <si>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</si>
  <si>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</si>
  <si>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</si>
  <si>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</si>
  <si>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</si>
  <si>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</si>
  <si>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</si>
  <si>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</si>
  <si>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</si>
  <si>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</si>
  <si>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</si>
  <si>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</si>
  <si>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</si>
  <si>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</si>
  <si>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</si>
  <si>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</si>
  <si>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</si>
  <si>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</si>
  <si>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</si>
  <si>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</si>
  <si>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</si>
  <si>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</si>
  <si>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</si>
  <si>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</si>
  <si>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</si>
  <si>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</si>
  <si>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</si>
  <si>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</si>
  <si>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</si>
  <si>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</si>
  <si>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</si>
  <si>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</si>
  <si>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</si>
  <si>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</si>
  <si>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</si>
  <si>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</si>
  <si>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</si>
  <si>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</si>
  <si>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</si>
  <si>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</si>
  <si>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</si>
  <si>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</si>
  <si>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</si>
  <si>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</si>
  <si>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</si>
  <si>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</si>
  <si>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</si>
  <si>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</si>
  <si>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</si>
  <si>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</si>
  <si>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</si>
  <si>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</si>
  <si>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</si>
  <si>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</si>
  <si>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</si>
  <si>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</si>
  <si>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</si>
  <si>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</si>
  <si>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</si>
  <si>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</si>
  <si>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</si>
  <si>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</si>
  <si>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</si>
  <si>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</si>
  <si>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</si>
  <si>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</si>
  <si>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</si>
  <si>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</si>
  <si>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</si>
  <si>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</si>
  <si>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</si>
  <si>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</si>
  <si>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</si>
  <si>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</si>
  <si>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</si>
  <si>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</si>
  <si>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</si>
  <si>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</si>
  <si>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</si>
  <si>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</si>
  <si>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</si>
  <si>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</si>
  <si>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</si>
  <si>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</si>
  <si>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</si>
  <si>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</si>
  <si>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</si>
  <si>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</si>
  <si>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</si>
  <si>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</si>
  <si>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</si>
  <si>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</si>
  <si>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</si>
  <si>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</si>
  <si>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</si>
  <si>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</si>
  <si>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</si>
  <si>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</si>
  <si>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</si>
  <si>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</si>
  <si>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</si>
  <si>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</si>
  <si>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</si>
  <si>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</si>
  <si>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</si>
  <si>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</si>
  <si>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</si>
  <si>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</si>
  <si>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</si>
  <si>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</si>
  <si>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</si>
  <si>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</si>
  <si>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</si>
  <si>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</si>
  <si>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</si>
  <si>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</si>
  <si>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</si>
  <si>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</si>
  <si>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</si>
  <si>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</si>
  <si>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</si>
  <si>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</si>
  <si>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</si>
  <si>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</si>
  <si>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</si>
  <si>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</si>
  <si>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</si>
  <si>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</si>
  <si>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</si>
  <si>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</si>
  <si>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</si>
  <si>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</si>
  <si>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</si>
  <si>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</si>
  <si>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</si>
  <si>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</si>
  <si>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</si>
  <si>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</si>
  <si>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</si>
  <si>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</si>
  <si>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</si>
  <si>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</si>
  <si>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</si>
  <si>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</si>
  <si>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</si>
  <si>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</si>
  <si>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</si>
  <si>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</si>
  <si>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</si>
  <si>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</si>
  <si>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</si>
  <si>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</si>
  <si>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</si>
  <si>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</si>
  <si>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</si>
  <si>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</si>
  <si>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</si>
  <si>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</si>
  <si>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</si>
  <si>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</si>
  <si>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</si>
  <si>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</si>
  <si>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</si>
  <si>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</si>
  <si>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</si>
  <si>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</si>
  <si>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</si>
  <si>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</si>
  <si>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</si>
  <si>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</si>
  <si>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</si>
  <si>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</si>
  <si>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</si>
  <si>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</si>
  <si>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</si>
  <si>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</si>
  <si>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</si>
  <si>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</si>
  <si>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</si>
  <si>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</si>
  <si>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</si>
  <si>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</si>
  <si>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</si>
  <si>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</si>
  <si>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</si>
  <si>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</si>
  <si>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</si>
  <si>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</si>
  <si>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</si>
  <si>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</si>
  <si>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</si>
  <si>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</si>
  <si>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</si>
  <si>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</si>
  <si>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</si>
  <si>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</si>
  <si>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</si>
  <si>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</si>
  <si>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</si>
  <si>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</si>
  <si>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</si>
  <si>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</si>
  <si>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</si>
  <si>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</si>
  <si>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</si>
  <si>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</si>
  <si>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</si>
  <si>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</si>
  <si>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</si>
  <si>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</si>
  <si>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</si>
  <si>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</si>
  <si>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</si>
  <si>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</si>
  <si>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</si>
  <si>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</si>
  <si>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</si>
  <si>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</si>
  <si>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</si>
  <si>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</si>
  <si>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</si>
  <si>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</si>
  <si>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</si>
  <si>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</si>
  <si>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</si>
  <si>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</si>
  <si>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</si>
  <si>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</si>
  <si>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</si>
  <si>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</si>
  <si>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</si>
  <si>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</si>
  <si>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</si>
  <si>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</si>
  <si>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</si>
  <si>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</si>
  <si>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</si>
  <si>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</si>
  <si>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</si>
  <si>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</si>
  <si>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</si>
  <si>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</si>
  <si>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</si>
  <si>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</si>
  <si>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</si>
  <si>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</si>
  <si>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</si>
  <si>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</si>
  <si>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</si>
  <si>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</si>
  <si>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</si>
  <si>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</si>
  <si>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</si>
  <si>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</si>
  <si>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</si>
  <si>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</si>
  <si>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</si>
  <si>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</si>
  <si>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</si>
  <si>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</si>
  <si>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</si>
  <si>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</si>
  <si>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</si>
  <si>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</si>
  <si>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</si>
  <si>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</si>
  <si>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</si>
  <si>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</si>
  <si>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</si>
  <si>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</si>
  <si>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</si>
  <si>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</si>
  <si>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</si>
  <si>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</si>
  <si>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</si>
  <si>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</si>
  <si>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</si>
  <si>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</si>
  <si>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</si>
  <si>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</si>
  <si>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</si>
  <si>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</si>
  <si>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</si>
  <si>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</si>
  <si>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</si>
  <si>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</si>
  <si>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</si>
  <si>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</si>
  <si>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</si>
  <si>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</si>
  <si>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</si>
  <si>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</si>
  <si>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</si>
  <si>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</si>
  <si>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</si>
  <si>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</si>
  <si>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</si>
  <si>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</si>
  <si>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</si>
  <si>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</si>
  <si>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</si>
  <si>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</si>
  <si>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</si>
  <si>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</si>
  <si>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</si>
  <si>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</si>
  <si>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</si>
  <si>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</si>
  <si>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</si>
  <si>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</si>
  <si>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</si>
  <si>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</si>
  <si>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</si>
  <si>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</si>
  <si>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</si>
  <si>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</si>
  <si>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</si>
  <si>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</si>
  <si>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</si>
  <si>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</si>
  <si>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</si>
  <si>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</si>
  <si>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</si>
  <si>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</si>
  <si>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</si>
  <si>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</si>
  <si>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</si>
  <si>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</si>
  <si>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</si>
  <si>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</si>
  <si>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</si>
  <si>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</si>
  <si>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</si>
  <si>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</si>
  <si>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</si>
  <si>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</si>
  <si>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</si>
  <si>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</si>
  <si>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</si>
  <si>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</si>
  <si>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</si>
  <si>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</si>
  <si>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</si>
  <si>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</si>
  <si>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</si>
  <si>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</si>
  <si>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</si>
  <si>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</si>
  <si>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</si>
  <si>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</si>
  <si>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</si>
  <si>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</si>
  <si>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</si>
  <si>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</si>
  <si>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</si>
  <si>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</si>
  <si>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</si>
  <si>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</si>
  <si>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</si>
  <si>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</si>
  <si>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</si>
  <si>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</si>
  <si>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</si>
  <si>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</si>
  <si>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</si>
  <si>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</si>
  <si>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</si>
  <si>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</si>
  <si>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</si>
  <si>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</si>
  <si>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</si>
  <si>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</si>
  <si>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</si>
  <si>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</si>
  <si>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</si>
  <si>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</si>
  <si>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</si>
  <si>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</si>
  <si>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</si>
  <si>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</si>
  <si>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</si>
  <si>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</si>
  <si>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</si>
  <si>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</si>
  <si>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</si>
  <si>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</si>
  <si>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</si>
  <si>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</si>
  <si>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</si>
  <si>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</si>
  <si>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</si>
  <si>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</si>
  <si>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</si>
  <si>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</si>
  <si>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</si>
  <si>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</si>
  <si>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</si>
  <si>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</si>
  <si>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</si>
  <si>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</si>
  <si>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</si>
  <si>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</si>
  <si>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</si>
  <si>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</si>
  <si>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</si>
  <si>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</si>
  <si>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</si>
  <si>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</si>
  <si>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</si>
  <si>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</si>
  <si>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</si>
  <si>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</si>
  <si>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</si>
  <si>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</si>
  <si>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</si>
  <si>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</si>
  <si>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</si>
  <si>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</si>
  <si>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</si>
  <si>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</si>
  <si>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</si>
  <si>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</si>
  <si>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</si>
  <si>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</si>
  <si>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</si>
  <si>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</si>
  <si>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</si>
  <si>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</si>
  <si>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</si>
  <si>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</si>
  <si>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</si>
  <si>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</si>
  <si>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</si>
  <si>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</si>
  <si>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</si>
  <si>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</si>
  <si>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</si>
  <si>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</si>
  <si>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</si>
  <si>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</si>
  <si>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</si>
  <si>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</si>
  <si>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</si>
  <si>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</si>
  <si>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</si>
  <si>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</si>
  <si>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</si>
  <si>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</si>
  <si>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</si>
  <si>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</si>
  <si>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</si>
  <si>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</si>
  <si>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</si>
  <si>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</si>
  <si>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</si>
  <si>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</si>
  <si>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</si>
  <si>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</si>
  <si>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</si>
  <si>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</si>
  <si>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</si>
  <si>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</si>
  <si>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</si>
  <si>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</si>
  <si>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</si>
  <si>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</si>
  <si>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</si>
  <si>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</si>
  <si>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</si>
  <si>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</si>
  <si>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</si>
  <si>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</si>
  <si>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</si>
  <si>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</si>
  <si>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</si>
  <si>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</si>
  <si>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</si>
  <si>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</si>
  <si>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</si>
  <si>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</si>
  <si>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</si>
  <si>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</si>
  <si>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</si>
  <si>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</si>
  <si>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</si>
  <si>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</si>
  <si>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</si>
  <si>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</si>
  <si>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</si>
  <si>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</si>
  <si>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</si>
  <si>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</si>
  <si>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</si>
  <si>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</si>
  <si>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</si>
  <si>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</si>
  <si>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</si>
  <si>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</si>
  <si>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</si>
  <si>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</si>
  <si>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</si>
  <si>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</si>
  <si>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</si>
  <si>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</si>
  <si>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</si>
  <si>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</si>
  <si>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</si>
  <si>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</si>
  <si>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</si>
  <si>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</si>
  <si>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</si>
  <si>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</si>
  <si>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</si>
  <si>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</si>
  <si>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</si>
  <si>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</si>
  <si>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</si>
  <si>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</si>
  <si>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</si>
  <si>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</si>
  <si>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</si>
  <si>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</si>
  <si>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</si>
  <si>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</si>
  <si>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</si>
  <si>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</si>
  <si>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</si>
  <si>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</si>
  <si>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</si>
  <si>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</si>
  <si>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</si>
  <si>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</si>
  <si>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</si>
  <si>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</si>
  <si>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</si>
  <si>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</si>
  <si>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</si>
  <si>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</si>
  <si>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</si>
  <si>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</si>
  <si>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</si>
  <si>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</si>
  <si>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</si>
  <si>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</si>
  <si>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</si>
  <si>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</si>
  <si>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</si>
  <si>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</si>
  <si>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</si>
  <si>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</si>
  <si>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</si>
  <si>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</si>
  <si>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</si>
  <si>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</si>
  <si>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</si>
  <si>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</si>
  <si>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</si>
  <si>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</si>
  <si>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</si>
  <si>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</si>
  <si>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</si>
  <si>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</si>
  <si>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</si>
  <si>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</si>
  <si>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</si>
  <si>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</si>
  <si>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</si>
  <si>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</si>
  <si>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</si>
  <si>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</si>
  <si>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</si>
  <si>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</si>
  <si>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</si>
  <si>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</si>
  <si>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</si>
  <si>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</si>
  <si>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</si>
  <si>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</si>
  <si>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</si>
  <si>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</si>
  <si>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</si>
  <si>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</si>
  <si>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</si>
  <si>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</si>
  <si>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</si>
  <si>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</si>
  <si>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</si>
  <si>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</si>
  <si>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</si>
  <si>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</si>
  <si>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</si>
  <si>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</si>
  <si>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</si>
  <si>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</si>
  <si>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</si>
  <si>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</si>
  <si>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</si>
  <si>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</si>
  <si>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</si>
  <si>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</si>
  <si>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</si>
  <si>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</si>
  <si>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</si>
  <si>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</si>
  <si>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</si>
  <si>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</si>
  <si>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</si>
  <si>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</si>
  <si>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</si>
  <si>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</si>
  <si>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</si>
  <si>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</si>
  <si>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</si>
  <si>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</si>
  <si>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</si>
  <si>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</si>
  <si>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</si>
  <si>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</si>
  <si>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</si>
  <si>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</si>
  <si>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</si>
  <si>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</si>
  <si>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</si>
  <si>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</si>
  <si>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</si>
  <si>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</si>
  <si>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</si>
  <si>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</si>
  <si>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</si>
  <si>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</si>
  <si>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</si>
  <si>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</si>
  <si>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</si>
  <si>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</si>
  <si>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</si>
  <si>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</si>
  <si>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</si>
  <si>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</si>
  <si>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</si>
  <si>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</si>
  <si>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</si>
  <si>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</si>
  <si>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</si>
  <si>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</si>
  <si>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</si>
  <si>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</si>
  <si>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</si>
  <si>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</si>
  <si>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</si>
  <si>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</si>
  <si>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</si>
  <si>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</si>
  <si>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</si>
  <si>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</si>
  <si>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</si>
  <si>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</si>
  <si>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</si>
  <si>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</si>
  <si>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</si>
  <si>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</si>
  <si>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</si>
  <si>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</si>
  <si>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</si>
  <si>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</si>
  <si>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</si>
  <si>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</si>
  <si>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</si>
  <si>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</si>
  <si>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</si>
  <si>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</si>
  <si>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</si>
  <si>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</si>
  <si>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</si>
  <si>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</si>
  <si>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</si>
  <si>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</si>
  <si>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</si>
  <si>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</si>
  <si>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</si>
  <si>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</si>
  <si>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</si>
  <si>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</si>
  <si>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</si>
  <si>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</si>
  <si>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</si>
  <si>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</si>
  <si>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</si>
  <si>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</si>
  <si>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</si>
  <si>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</si>
  <si>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</si>
  <si>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</si>
  <si>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</si>
  <si>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</si>
  <si>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</si>
  <si>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</si>
  <si>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</si>
  <si>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</si>
  <si>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</si>
  <si>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</si>
  <si>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</si>
  <si>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</si>
  <si>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</si>
  <si>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</si>
  <si>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</si>
  <si>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</si>
  <si>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</si>
  <si>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</si>
  <si>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</si>
  <si>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</si>
  <si>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</si>
  <si>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</si>
  <si>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</si>
  <si>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</si>
  <si>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</si>
  <si>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</si>
  <si>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</si>
  <si>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</si>
  <si>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</si>
  <si>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</si>
  <si>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</si>
  <si>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</si>
  <si>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</si>
  <si>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</si>
  <si>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</si>
  <si>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</si>
  <si>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</si>
  <si>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</si>
  <si>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</si>
  <si>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</si>
  <si>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</si>
  <si>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</si>
  <si>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</si>
  <si>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</si>
  <si>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</si>
  <si>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</si>
  <si>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</si>
  <si>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</si>
  <si>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</si>
  <si>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</si>
  <si>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</si>
  <si>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</si>
  <si>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</si>
  <si>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</si>
  <si>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</si>
  <si>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</si>
  <si>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</si>
  <si>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</si>
  <si>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</si>
  <si>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</si>
  <si>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</si>
  <si>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</si>
  <si>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</si>
  <si>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</si>
  <si>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</si>
  <si>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</si>
  <si>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</si>
  <si>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</si>
  <si>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</si>
  <si>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</si>
  <si>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</si>
  <si>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</si>
  <si>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</si>
  <si>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</si>
  <si>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</si>
  <si>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</si>
  <si>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</si>
  <si>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</si>
  <si>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</si>
  <si>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</si>
  <si>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</si>
  <si>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</si>
  <si>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</si>
  <si>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</si>
  <si>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</si>
  <si>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</si>
  <si>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</si>
  <si>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</si>
  <si>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</si>
  <si>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</si>
  <si>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</si>
  <si>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</si>
  <si>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</si>
  <si>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</si>
  <si>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</si>
  <si>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</si>
  <si>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</si>
  <si>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</si>
  <si>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</si>
  <si>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</si>
  <si>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</si>
  <si>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</si>
  <si>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</si>
  <si>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</si>
  <si>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</si>
  <si>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</si>
  <si>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</si>
  <si>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</si>
  <si>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</si>
  <si>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</si>
  <si>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</si>
  <si>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</si>
  <si>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</si>
  <si>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</si>
  <si>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</si>
  <si>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</si>
  <si>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</si>
  <si>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</si>
  <si>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</si>
  <si>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</si>
  <si>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</si>
  <si>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</si>
  <si>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</si>
  <si>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</si>
  <si>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</si>
  <si>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</si>
  <si>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</si>
  <si>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</si>
  <si>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</si>
  <si>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</si>
  <si>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</si>
  <si>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</si>
  <si>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</si>
  <si>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</si>
  <si>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</si>
  <si>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</si>
  <si>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</si>
  <si>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</si>
  <si>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</si>
  <si>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</si>
  <si>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</si>
  <si>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</si>
  <si>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</si>
  <si>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</si>
  <si>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</si>
  <si>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</si>
  <si>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</si>
  <si>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</si>
  <si>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</si>
  <si>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</si>
  <si>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</si>
  <si>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</si>
  <si>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</si>
  <si>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</si>
  <si>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</si>
  <si>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</si>
  <si>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</si>
  <si>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</si>
  <si>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</si>
  <si>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</si>
  <si>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</si>
  <si>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</si>
  <si>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</si>
  <si>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</si>
  <si>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</si>
  <si>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</si>
  <si>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</si>
  <si>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</si>
  <si>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</si>
  <si>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</si>
  <si>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</si>
  <si>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</si>
  <si>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</si>
  <si>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</si>
  <si>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</si>
  <si>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</si>
  <si>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</si>
  <si>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</si>
  <si>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</si>
  <si>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</si>
  <si>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</si>
  <si>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</si>
  <si>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</si>
  <si>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</si>
  <si>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</si>
  <si>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</si>
  <si>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</si>
  <si>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</si>
  <si>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</si>
  <si>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</si>
  <si>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</si>
  <si>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</si>
  <si>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</si>
  <si>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</si>
  <si>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</si>
  <si>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</si>
  <si>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</si>
  <si>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</si>
  <si>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</si>
  <si>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</si>
  <si>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</si>
  <si>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</si>
  <si>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</si>
  <si>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</si>
  <si>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</si>
  <si>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</si>
  <si>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</si>
  <si>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</si>
  <si>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</si>
  <si>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</si>
  <si>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</si>
  <si>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</si>
  <si>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</si>
  <si>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</si>
  <si>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</si>
  <si>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</si>
  <si>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</si>
  <si>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</si>
  <si>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</si>
  <si>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</si>
  <si>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</si>
  <si>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</si>
  <si>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</si>
  <si>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</si>
  <si>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</si>
  <si>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</si>
  <si>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</si>
  <si>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</si>
  <si>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</si>
  <si>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</si>
  <si>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</si>
  <si>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</si>
  <si>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</si>
  <si>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</si>
  <si>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</si>
  <si>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</si>
  <si>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</si>
  <si>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</si>
  <si>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</si>
  <si>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</si>
  <si>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</si>
  <si>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</si>
  <si>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</si>
  <si>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</si>
  <si>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</si>
  <si>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</si>
  <si>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</si>
  <si>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</si>
  <si>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</si>
  <si>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</si>
  <si>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</si>
  <si>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</si>
  <si>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</si>
  <si>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</si>
  <si>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</si>
  <si>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</si>
  <si>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</si>
  <si>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</si>
  <si>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</si>
  <si>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</si>
  <si>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</si>
  <si>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</si>
  <si>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</si>
  <si>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</si>
  <si>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</si>
  <si>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</si>
  <si>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</si>
  <si>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</si>
  <si>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</si>
  <si>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</si>
  <si>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</si>
  <si>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</si>
  <si>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</si>
  <si>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</si>
  <si>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</si>
  <si>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</si>
  <si>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</si>
  <si>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</si>
  <si>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</si>
  <si>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</si>
  <si>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</si>
  <si>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</si>
  <si>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</si>
  <si>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</si>
  <si>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</si>
  <si>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</si>
  <si>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</si>
  <si>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</si>
  <si>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</si>
  <si>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</si>
  <si>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</si>
  <si>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</si>
  <si>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</si>
  <si>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</si>
  <si>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</si>
  <si>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</si>
  <si>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</si>
  <si>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</si>
  <si>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</si>
  <si>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</si>
  <si>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</si>
  <si>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</si>
  <si>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</si>
  <si>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</si>
  <si>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</si>
  <si>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</si>
  <si>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</si>
  <si>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</si>
  <si>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</si>
  <si>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</si>
  <si>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</si>
  <si>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</si>
  <si>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</si>
  <si>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</si>
  <si>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</si>
  <si>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</si>
  <si>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</si>
  <si>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</si>
  <si>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</si>
  <si>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</si>
  <si>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</si>
  <si>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</si>
  <si>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</si>
  <si>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</si>
  <si>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</si>
  <si>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</si>
  <si>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</si>
  <si>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</si>
  <si>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</si>
  <si>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</si>
  <si>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</si>
  <si>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</si>
  <si>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</si>
  <si>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</si>
  <si>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</si>
  <si>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</si>
  <si>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</si>
  <si>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</si>
  <si>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</si>
  <si>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</si>
  <si>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</si>
  <si>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</si>
  <si>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</si>
  <si>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</si>
  <si>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</si>
  <si>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</si>
  <si>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</si>
  <si>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</si>
  <si>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</si>
  <si>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</si>
  <si>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</si>
  <si>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</si>
  <si>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</si>
  <si>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</si>
  <si>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</si>
  <si>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</si>
  <si>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</si>
  <si>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</si>
  <si>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</si>
  <si>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</si>
  <si>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</si>
  <si>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</si>
  <si>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</si>
  <si>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</si>
  <si>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</si>
  <si>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</si>
  <si>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</si>
  <si>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</si>
  <si>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</si>
  <si>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</si>
  <si>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</si>
  <si>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</si>
  <si>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</si>
  <si>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</si>
  <si>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</si>
  <si>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</si>
  <si>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</si>
  <si>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</si>
  <si>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</si>
  <si>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</si>
  <si>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</si>
  <si>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</si>
  <si>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</si>
  <si>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</si>
  <si>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</si>
  <si>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</si>
  <si>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</si>
  <si>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</si>
  <si>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</si>
  <si>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</si>
  <si>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</si>
  <si>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</si>
  <si>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</si>
  <si>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</si>
  <si>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</si>
  <si>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</si>
  <si>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</si>
  <si>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</si>
  <si>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</si>
  <si>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</si>
  <si>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</si>
  <si>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</si>
  <si>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</si>
  <si>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</si>
  <si>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</si>
  <si>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</si>
  <si>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</si>
  <si>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</si>
  <si>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</si>
  <si>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</si>
  <si>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</si>
  <si>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</si>
  <si>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</si>
  <si>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</si>
  <si>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</si>
  <si>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</si>
  <si>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</si>
  <si>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</si>
  <si>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</si>
  <si>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</si>
  <si>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</si>
  <si>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</si>
  <si>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</si>
  <si>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</si>
  <si>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</si>
  <si>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</si>
  <si>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</si>
  <si>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</si>
  <si>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</si>
  <si>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</si>
  <si>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</si>
  <si>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</si>
  <si>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</si>
  <si>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</si>
  <si>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</si>
  <si>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</si>
  <si>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</si>
  <si>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</si>
  <si>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</si>
  <si>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</si>
  <si>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</si>
  <si>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</si>
  <si>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</si>
  <si>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</si>
  <si>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</si>
  <si>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</si>
  <si>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</si>
  <si>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</si>
  <si>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</si>
  <si>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</si>
  <si>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</si>
  <si>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</si>
  <si>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</si>
  <si>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</si>
  <si>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</si>
  <si>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</si>
  <si>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</si>
  <si>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</si>
  <si>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</si>
  <si>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</si>
  <si>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</si>
  <si>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</si>
  <si>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</si>
  <si>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</si>
  <si>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</si>
  <si>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</si>
  <si>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</si>
  <si>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</si>
  <si>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</si>
  <si>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</si>
  <si>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</si>
  <si>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</si>
  <si>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</si>
  <si>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</si>
  <si>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</si>
  <si>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</si>
  <si>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</si>
  <si>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</si>
  <si>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</si>
  <si>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</si>
  <si>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</si>
  <si>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</si>
  <si>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</si>
  <si>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</si>
  <si>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</si>
  <si>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</si>
  <si>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</si>
  <si>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</si>
  <si>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</si>
  <si>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</si>
  <si>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</si>
  <si>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</si>
  <si>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</si>
  <si>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</si>
  <si>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</si>
  <si>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</si>
  <si>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</si>
  <si>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</si>
  <si>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</si>
  <si>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</si>
  <si>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</si>
  <si>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</si>
  <si>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</si>
  <si>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</si>
  <si>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</si>
  <si>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</si>
  <si>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</si>
  <si>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</si>
  <si>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</si>
  <si>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</si>
  <si>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</si>
  <si>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</si>
  <si>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</si>
  <si>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</si>
  <si>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</si>
  <si>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</si>
  <si>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</si>
  <si>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</si>
  <si>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</si>
  <si>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</si>
  <si>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</si>
  <si>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</si>
  <si>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</si>
  <si>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</si>
  <si>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</si>
  <si>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</si>
  <si>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</si>
  <si>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</si>
  <si>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</si>
  <si>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</si>
  <si>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</si>
  <si>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</si>
  <si>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</si>
  <si>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</si>
  <si>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</si>
  <si>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</si>
  <si>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</si>
  <si>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</si>
  <si>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</si>
  <si>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</si>
  <si>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</si>
  <si>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</si>
  <si>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</si>
  <si>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</si>
  <si>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</si>
  <si>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</si>
  <si>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</si>
  <si>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</si>
  <si>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</si>
  <si>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</si>
  <si>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</si>
  <si>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</si>
  <si>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</si>
  <si>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</si>
  <si>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</si>
  <si>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</si>
  <si>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</si>
  <si>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</si>
  <si>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</si>
  <si>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</si>
  <si>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</si>
  <si>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</si>
  <si>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</si>
  <si>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</si>
  <si>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</si>
  <si>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</si>
  <si>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</si>
  <si>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</si>
  <si>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</si>
  <si>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</si>
  <si>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</si>
  <si>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</si>
  <si>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</si>
  <si>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</si>
  <si>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</si>
  <si>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</si>
  <si>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</si>
  <si>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</si>
  <si>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</si>
  <si>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</si>
  <si>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</si>
  <si>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</si>
  <si>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</si>
  <si>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</si>
  <si>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</si>
  <si>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</si>
  <si>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</si>
  <si>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</si>
  <si>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</si>
  <si>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</si>
  <si>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</si>
  <si>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</si>
  <si>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</si>
  <si>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</si>
  <si>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</si>
  <si>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</si>
  <si>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</si>
  <si>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</si>
  <si>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</si>
  <si>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</si>
  <si>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</si>
  <si>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</si>
  <si>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</si>
  <si>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</si>
  <si>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</si>
  <si>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</si>
  <si>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</si>
  <si>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</si>
  <si>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</si>
  <si>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</si>
  <si>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</si>
  <si>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</si>
  <si>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</si>
  <si>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</si>
  <si>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</si>
  <si>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</si>
  <si>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</si>
  <si>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</si>
  <si>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</si>
  <si>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</si>
  <si>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</si>
  <si>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</si>
  <si>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</si>
  <si>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</si>
  <si>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</si>
  <si>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</si>
  <si>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</si>
  <si>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</si>
  <si>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</si>
  <si>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</si>
  <si>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</si>
  <si>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</si>
  <si>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</si>
  <si>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</si>
  <si>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</si>
  <si>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</si>
  <si>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</si>
  <si>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</si>
  <si>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</si>
  <si>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</si>
  <si>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</si>
  <si>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</si>
  <si>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</si>
  <si>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</si>
  <si>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</si>
  <si>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</si>
  <si>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</si>
  <si>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</si>
  <si>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</si>
  <si>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</si>
  <si>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</si>
  <si>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</si>
  <si>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</si>
  <si>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</si>
  <si>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</si>
  <si>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</si>
  <si>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</si>
  <si>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</si>
  <si>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</si>
  <si>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</si>
  <si>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</si>
  <si>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</si>
  <si>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</si>
  <si>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</si>
  <si>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</si>
  <si>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</si>
  <si>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</si>
  <si>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</si>
  <si>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</si>
  <si>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</si>
  <si>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</si>
  <si>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</si>
  <si>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</si>
  <si>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</si>
  <si>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</si>
  <si>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</si>
  <si>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</si>
  <si>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</si>
  <si>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</si>
  <si>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</si>
  <si>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</si>
  <si>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</si>
  <si>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</si>
  <si>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</si>
  <si>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</si>
  <si>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</si>
  <si>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</si>
  <si>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</si>
  <si>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</si>
  <si>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</si>
  <si>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</si>
  <si>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</si>
  <si>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</si>
  <si>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</si>
  <si>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</si>
  <si>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</si>
  <si>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</si>
  <si>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</si>
  <si>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</si>
  <si>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</si>
  <si>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</si>
  <si>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</si>
  <si>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</si>
  <si>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</si>
  <si>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</si>
  <si>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</si>
  <si>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</si>
  <si>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</si>
  <si>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</si>
  <si>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</si>
  <si>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</si>
  <si>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</si>
  <si>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</si>
  <si>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</si>
  <si>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</si>
  <si>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</si>
  <si>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</si>
  <si>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</si>
  <si>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</si>
  <si>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</si>
  <si>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</si>
  <si>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</si>
  <si>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</si>
  <si>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</si>
  <si>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</si>
  <si>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</si>
  <si>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</si>
  <si>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</si>
  <si>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</si>
  <si>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</si>
  <si>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</si>
  <si>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</si>
  <si>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</si>
  <si>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</si>
  <si>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</si>
  <si>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</si>
  <si>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</si>
  <si>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</si>
  <si>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</si>
  <si>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</si>
  <si>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</si>
  <si>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</si>
  <si>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</si>
  <si>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</si>
  <si>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</si>
  <si>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</si>
  <si>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</si>
  <si>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</si>
  <si>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</si>
  <si>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</si>
  <si>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</si>
  <si>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</si>
  <si>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</si>
  <si>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</si>
  <si>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</si>
  <si>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</si>
  <si>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</si>
  <si>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</si>
  <si>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</si>
  <si>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</si>
  <si>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</si>
  <si>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</si>
  <si>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</si>
  <si>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</si>
  <si>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</si>
  <si>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</si>
  <si>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</si>
  <si>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</si>
  <si>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</si>
  <si>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</si>
  <si>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</si>
  <si>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</si>
  <si>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</si>
  <si>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</si>
  <si>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</si>
  <si>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</si>
  <si>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</si>
  <si>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</si>
  <si>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</si>
  <si>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</si>
  <si>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</si>
  <si>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</si>
  <si>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</si>
  <si>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</si>
  <si>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</si>
  <si>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</si>
  <si>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</si>
  <si>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</si>
  <si>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</si>
  <si>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</si>
  <si>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</si>
  <si>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</si>
  <si>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</si>
  <si>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</si>
  <si>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</si>
  <si>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</si>
  <si>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</si>
  <si>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</si>
  <si>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</si>
  <si>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</si>
  <si>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</si>
  <si>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</si>
  <si>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</si>
  <si>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</si>
  <si>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</si>
  <si>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</si>
  <si>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</si>
  <si>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</si>
  <si>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</si>
  <si>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</si>
  <si>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</si>
  <si>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</si>
  <si>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</si>
  <si>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</si>
  <si>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</si>
  <si>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</si>
  <si>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</si>
  <si>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</si>
  <si>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</si>
  <si>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</si>
  <si>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</si>
  <si>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</si>
  <si>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</si>
  <si>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</si>
  <si>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</si>
  <si>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</si>
  <si>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</si>
  <si>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</si>
  <si>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</si>
  <si>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</si>
  <si>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</si>
  <si>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</si>
  <si>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</si>
  <si>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</si>
  <si>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</si>
  <si>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</si>
  <si>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</si>
  <si>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</si>
  <si>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</si>
  <si>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</si>
  <si>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</si>
  <si>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</si>
  <si>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</si>
  <si>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</si>
  <si>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</si>
  <si>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</si>
  <si>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</si>
  <si>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</si>
  <si>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</si>
  <si>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</si>
  <si>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</si>
  <si>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</si>
  <si>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</si>
  <si>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</si>
  <si>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</si>
  <si>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</si>
  <si>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</si>
  <si>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</si>
  <si>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</si>
  <si>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</si>
  <si>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</si>
  <si>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</si>
  <si>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</si>
  <si>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</si>
  <si>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</si>
  <si>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</si>
  <si>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</si>
  <si>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</si>
  <si>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</si>
  <si>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</si>
  <si>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</si>
  <si>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</si>
  <si>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</si>
  <si>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</si>
  <si>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</si>
  <si>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</si>
  <si>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</si>
  <si>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</si>
  <si>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</si>
  <si>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</si>
  <si>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</si>
  <si>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</si>
  <si>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</si>
  <si>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</si>
  <si>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</si>
  <si>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</si>
  <si>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</si>
  <si>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</si>
  <si>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</si>
  <si>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</si>
  <si>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</si>
  <si>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</si>
  <si>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</si>
  <si>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</si>
  <si>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</si>
  <si>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</si>
  <si>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</si>
  <si>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</si>
  <si>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</si>
  <si>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</si>
  <si>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</si>
  <si>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</si>
  <si>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</si>
  <si>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</si>
  <si>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</si>
  <si>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</si>
  <si>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</si>
  <si>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</si>
  <si>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</si>
  <si>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</si>
  <si>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</si>
  <si>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</si>
  <si>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</si>
  <si>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</si>
  <si>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</si>
  <si>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</si>
  <si>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</si>
  <si>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</si>
  <si>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</si>
  <si>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</si>
  <si>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</si>
  <si>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</si>
  <si>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</si>
  <si>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</si>
  <si>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</si>
  <si>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</si>
  <si>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</si>
  <si>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</si>
  <si>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</si>
  <si>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</si>
  <si>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</si>
  <si>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</si>
  <si>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</si>
  <si>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</si>
  <si>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</si>
  <si>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</si>
  <si>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</si>
  <si>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</si>
  <si>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</si>
  <si>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</si>
  <si>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</si>
  <si>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</si>
  <si>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</si>
  <si>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</si>
  <si>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</si>
  <si>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</si>
  <si>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</si>
  <si>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</si>
  <si>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</si>
  <si>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</si>
  <si>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</si>
  <si>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</si>
  <si>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</si>
  <si>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</si>
  <si>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</si>
  <si>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</si>
  <si>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</si>
  <si>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</si>
  <si>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</si>
  <si>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</si>
  <si>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</si>
  <si>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</si>
  <si>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</si>
  <si>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</si>
  <si>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</si>
  <si>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</si>
  <si>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</si>
  <si>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</si>
  <si>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</si>
  <si>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</si>
  <si>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</si>
  <si>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</si>
  <si>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</si>
  <si>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</si>
  <si>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</si>
  <si>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</si>
  <si>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</si>
  <si>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</si>
  <si>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</si>
  <si>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</si>
  <si>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</si>
  <si>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</si>
  <si>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</si>
  <si>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</si>
  <si>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</si>
  <si>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</si>
  <si>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</si>
  <si>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</si>
  <si>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</si>
  <si>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</si>
  <si>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</si>
  <si>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</si>
  <si>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</si>
  <si>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</si>
  <si>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</si>
  <si>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</si>
  <si>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</si>
  <si>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</si>
  <si>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</si>
  <si>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</si>
  <si>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</si>
  <si>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</si>
  <si>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</si>
  <si>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</si>
  <si>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</si>
  <si>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</si>
  <si>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</si>
  <si>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</si>
  <si>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</si>
  <si>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</si>
  <si>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</si>
  <si>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</si>
  <si>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</si>
  <si>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</si>
  <si>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</si>
  <si>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</si>
  <si>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</si>
  <si>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</si>
  <si>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</si>
  <si>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</si>
  <si>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</si>
  <si>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</si>
  <si>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</si>
  <si>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</si>
  <si>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</si>
  <si>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</si>
  <si>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</si>
  <si>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</si>
  <si>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</si>
  <si>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</si>
  <si>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</si>
  <si>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</si>
  <si>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</si>
  <si>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</si>
  <si>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</si>
  <si>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</si>
  <si>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</si>
  <si>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</si>
  <si>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</si>
  <si>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</si>
  <si>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</si>
  <si>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</si>
  <si>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</si>
  <si>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</si>
  <si>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</si>
  <si>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</si>
  <si>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</si>
  <si>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</si>
  <si>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</si>
  <si>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</si>
  <si>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</si>
  <si>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</si>
  <si>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</si>
  <si>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</si>
  <si>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</si>
  <si>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</si>
  <si>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</si>
  <si>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</si>
  <si>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</si>
  <si>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</si>
  <si>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</si>
  <si>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</si>
  <si>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</si>
  <si>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</si>
  <si>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</si>
  <si>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</si>
  <si>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</si>
  <si>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</si>
  <si>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</si>
  <si>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</si>
  <si>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</si>
  <si>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</si>
  <si>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</si>
  <si>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</si>
  <si>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</si>
  <si>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</si>
  <si>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</si>
  <si>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</si>
  <si>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</si>
  <si>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</si>
  <si>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</si>
  <si>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</si>
  <si>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</si>
  <si>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</si>
  <si>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</si>
  <si>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</si>
  <si>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</si>
  <si>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</si>
  <si>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</si>
  <si>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</si>
  <si>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</si>
  <si>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</si>
  <si>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</si>
  <si>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</si>
  <si>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</si>
  <si>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</si>
  <si>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</si>
  <si>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</si>
  <si>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</si>
  <si>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</si>
  <si>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</si>
  <si>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</si>
  <si>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</si>
  <si>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</si>
  <si>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</si>
  <si>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</si>
  <si>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</si>
  <si>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</si>
  <si>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</si>
  <si>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</si>
  <si>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</si>
  <si>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</si>
  <si>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</si>
  <si>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</si>
  <si>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</si>
  <si>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</si>
  <si>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</si>
  <si>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</si>
  <si>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</si>
  <si>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</si>
  <si>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</si>
  <si>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</si>
  <si>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</si>
  <si>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</si>
  <si>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</si>
  <si>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</si>
  <si>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</si>
  <si>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</si>
  <si>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</si>
  <si>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</si>
  <si>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</si>
  <si>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</si>
  <si>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</si>
  <si>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</si>
  <si>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</si>
  <si>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</si>
  <si>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</si>
  <si>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</si>
  <si>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</si>
  <si>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</si>
  <si>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</si>
  <si>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</si>
  <si>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</si>
  <si>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</si>
  <si>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</si>
  <si>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</si>
  <si>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</si>
  <si>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</si>
  <si>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</si>
  <si>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</si>
  <si>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</si>
  <si>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</si>
  <si>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</si>
  <si>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</si>
  <si>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</si>
  <si>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</si>
  <si>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</si>
  <si>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</si>
  <si>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</si>
  <si>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</si>
  <si>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</si>
  <si>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</si>
  <si>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</si>
  <si>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</si>
  <si>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</si>
  <si>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</si>
  <si>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</si>
  <si>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</si>
  <si>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</si>
  <si>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</si>
  <si>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</si>
  <si>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</si>
  <si>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</si>
  <si>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</si>
  <si>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</si>
  <si>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</si>
  <si>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</si>
  <si>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</si>
  <si>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</si>
  <si>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</si>
  <si>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</si>
  <si>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</si>
  <si>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</si>
  <si>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</si>
  <si>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</si>
  <si>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</si>
  <si>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</si>
  <si>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</si>
  <si>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</si>
  <si>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</si>
  <si>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</si>
  <si>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</si>
  <si>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</si>
  <si>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</si>
  <si>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</si>
  <si>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</si>
  <si>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</si>
  <si>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</si>
  <si>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</si>
  <si>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</si>
  <si>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</si>
  <si>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</si>
  <si>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</si>
  <si>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</si>
  <si>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</si>
  <si>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</si>
  <si>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</si>
  <si>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</si>
  <si>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</si>
  <si>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</si>
  <si>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</si>
  <si>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</si>
  <si>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</si>
  <si>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</si>
  <si>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</si>
  <si>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</si>
  <si>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</si>
  <si>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</si>
  <si>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</si>
  <si>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</si>
  <si>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</si>
  <si>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</si>
  <si>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</si>
  <si>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</si>
  <si>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</si>
  <si>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</si>
  <si>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</si>
  <si>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</si>
  <si>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</si>
  <si>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</si>
  <si>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</si>
  <si>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</si>
  <si>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</si>
  <si>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</si>
  <si>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</si>
  <si>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</si>
  <si>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</si>
  <si>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</si>
  <si>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</si>
  <si>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</si>
  <si>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</si>
  <si>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</si>
  <si>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</si>
  <si>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</si>
  <si>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</si>
  <si>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</si>
  <si>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</si>
  <si>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</si>
  <si>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</si>
  <si>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</si>
  <si>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</si>
  <si>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</si>
  <si>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</si>
  <si>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</si>
  <si>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</si>
  <si>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</si>
  <si>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</si>
  <si>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</si>
  <si>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</si>
  <si>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</si>
  <si>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</si>
  <si>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</si>
  <si>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</si>
  <si>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</si>
  <si>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</si>
  <si>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</si>
  <si>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</si>
  <si>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</si>
  <si>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</si>
  <si>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</si>
  <si>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</si>
  <si>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</si>
  <si>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</si>
  <si>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</si>
  <si>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</si>
  <si>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</si>
  <si>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</si>
  <si>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</si>
  <si>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</si>
  <si>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</si>
  <si>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</si>
  <si>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</si>
  <si>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</si>
  <si>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</si>
  <si>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</si>
  <si>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</si>
  <si>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</si>
  <si>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</si>
  <si>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</si>
  <si>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</si>
  <si>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</si>
  <si>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</si>
  <si>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</si>
  <si>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</si>
  <si>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</si>
  <si>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</si>
  <si>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</si>
  <si>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</si>
  <si>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</si>
  <si>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</si>
  <si>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</si>
  <si>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</si>
  <si>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</si>
  <si>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</si>
  <si>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</si>
  <si>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</si>
  <si>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</si>
  <si>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</si>
  <si>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</si>
  <si>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</si>
  <si>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</si>
  <si>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</si>
  <si>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</si>
  <si>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</si>
  <si>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</si>
  <si>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</si>
  <si>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</si>
  <si>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</si>
  <si>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</si>
  <si>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</si>
  <si>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</si>
  <si>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</si>
  <si>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</si>
  <si>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</si>
  <si>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</si>
  <si>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</si>
  <si>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</si>
  <si>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</si>
  <si>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</si>
  <si>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</si>
  <si>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</si>
  <si>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</si>
  <si>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</si>
  <si>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</si>
  <si>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</si>
  <si>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</si>
  <si>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</si>
  <si>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</si>
  <si>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</si>
  <si>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</si>
  <si>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</si>
  <si>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</si>
  <si>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</si>
  <si>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</si>
  <si>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</si>
  <si>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</si>
  <si>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</si>
  <si>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</si>
  <si>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</si>
  <si>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</si>
  <si>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</si>
  <si>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</si>
  <si>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</si>
  <si>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</si>
  <si>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</si>
  <si>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</si>
  <si>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</si>
  <si>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</si>
  <si>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</si>
  <si>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</si>
  <si>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</si>
  <si>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</si>
  <si>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</si>
  <si>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</si>
  <si>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</si>
  <si>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</si>
  <si>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</si>
  <si>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</si>
  <si>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</si>
  <si>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</si>
  <si>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</si>
  <si>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</si>
  <si>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</si>
  <si>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</si>
  <si>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</si>
  <si>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</si>
  <si>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</si>
  <si>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</si>
  <si>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</si>
  <si>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</si>
  <si>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</si>
  <si>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</si>
  <si>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</si>
  <si>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</si>
  <si>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</si>
  <si>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</si>
  <si>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</si>
  <si>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</si>
  <si>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</si>
  <si>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</si>
  <si>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</si>
  <si>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</si>
  <si>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</si>
  <si>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</si>
  <si>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</si>
  <si>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</si>
  <si>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</si>
  <si>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</si>
  <si>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</si>
  <si>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</si>
  <si>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</si>
  <si>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</si>
  <si>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</si>
  <si>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</si>
  <si>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</si>
  <si>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</si>
  <si>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</si>
  <si>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</si>
  <si>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</si>
  <si>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</si>
  <si>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</si>
  <si>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</si>
  <si>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</si>
  <si>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</si>
  <si>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</si>
  <si>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</si>
  <si>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</si>
  <si>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</si>
  <si>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</si>
  <si>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</si>
  <si>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</si>
  <si>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</si>
  <si>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</si>
  <si>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</si>
  <si>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</si>
  <si>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</si>
  <si>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</si>
  <si>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</si>
  <si>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</si>
  <si>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</si>
  <si>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</si>
  <si>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</si>
  <si>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</si>
  <si>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</si>
  <si>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</si>
  <si>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</si>
  <si>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</si>
  <si>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</si>
  <si>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</si>
  <si>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</si>
  <si>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</si>
  <si>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</si>
  <si>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</si>
  <si>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</si>
  <si>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</si>
  <si>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</si>
  <si>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</si>
  <si>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</si>
  <si>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</si>
  <si>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</si>
  <si>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</si>
  <si>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</si>
  <si>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</si>
  <si>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</si>
  <si>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</si>
  <si>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</si>
  <si>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</si>
  <si>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</si>
  <si>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</si>
  <si>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</si>
  <si>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</si>
  <si>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</si>
  <si>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</si>
  <si>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</si>
  <si>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</si>
  <si>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</si>
  <si>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</si>
  <si>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</si>
  <si>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</si>
  <si>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</si>
  <si>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</si>
  <si>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</si>
  <si>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</si>
  <si>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</si>
  <si>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</si>
  <si>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</si>
  <si>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</si>
  <si>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</si>
  <si>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</si>
  <si>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</si>
  <si>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</si>
  <si>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</si>
  <si>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</si>
  <si>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</si>
  <si>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</si>
  <si>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</si>
  <si>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</si>
  <si>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</si>
  <si>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</si>
  <si>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</si>
  <si>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</si>
  <si>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</si>
  <si>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</si>
  <si>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</si>
  <si>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</si>
  <si>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</si>
  <si>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</si>
  <si>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</si>
  <si>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</si>
  <si>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</si>
  <si>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</si>
  <si>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</si>
  <si>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</si>
  <si>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</si>
  <si>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</si>
  <si>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</si>
  <si>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</si>
  <si>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</si>
  <si>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</si>
  <si>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</si>
  <si>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</si>
  <si>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</si>
  <si>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</si>
  <si>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</si>
  <si>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</si>
  <si>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</si>
  <si>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</si>
  <si>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</si>
  <si>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</si>
  <si>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</si>
  <si>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</si>
  <si>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</si>
  <si>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</si>
  <si>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</si>
  <si>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</si>
  <si>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</si>
  <si>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</si>
  <si>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</si>
  <si>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</si>
  <si>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</si>
  <si>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</si>
  <si>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</si>
  <si>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</si>
  <si>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</si>
  <si>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</si>
  <si>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</si>
  <si>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</si>
  <si>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</si>
  <si>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</si>
  <si>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</si>
  <si>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</si>
  <si>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</si>
  <si>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</si>
  <si>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</si>
  <si>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</si>
  <si>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</si>
  <si>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</si>
  <si>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</si>
  <si>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</si>
  <si>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</si>
  <si>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</si>
  <si>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</si>
  <si>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</si>
  <si>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</si>
  <si>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</si>
  <si>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</si>
  <si>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</si>
  <si>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</si>
  <si>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</si>
  <si>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</si>
  <si>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</si>
  <si>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</si>
  <si>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</si>
  <si>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</si>
  <si>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</si>
  <si>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</si>
  <si>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</si>
  <si>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</si>
  <si>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</si>
  <si>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</si>
  <si>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</si>
  <si>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</si>
  <si>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</si>
  <si>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</si>
  <si>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</si>
  <si>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</si>
  <si>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</si>
  <si>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</si>
  <si>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</si>
  <si>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</si>
  <si>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</si>
  <si>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</si>
  <si>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</si>
  <si>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</si>
  <si>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</si>
  <si>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</si>
  <si>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</si>
  <si>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</si>
  <si>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</si>
  <si>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</si>
  <si>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</si>
  <si>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</si>
  <si>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</si>
  <si>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</si>
  <si>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</si>
  <si>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</si>
  <si>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</si>
  <si>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</si>
  <si>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</si>
  <si>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</si>
  <si>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</si>
  <si>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</si>
  <si>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</si>
  <si>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</si>
  <si>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</si>
  <si>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</si>
  <si>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</si>
  <si>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</si>
  <si>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</si>
  <si>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</si>
  <si>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</si>
  <si>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</si>
  <si>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</si>
  <si>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</si>
  <si>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</si>
  <si>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</si>
  <si>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</si>
  <si>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</si>
  <si>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</si>
  <si>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</si>
  <si>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</si>
  <si>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</si>
  <si>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</si>
  <si>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</si>
  <si>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</si>
  <si>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</si>
  <si>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</si>
  <si>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</si>
  <si>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</si>
  <si>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</si>
  <si>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</si>
  <si>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</si>
  <si>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</si>
  <si>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</si>
  <si>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</si>
  <si>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</si>
  <si>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</si>
  <si>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</si>
  <si>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</si>
  <si>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</si>
  <si>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</si>
  <si>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</si>
  <si>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</si>
  <si>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</si>
  <si>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</si>
  <si>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</si>
  <si>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</si>
  <si>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</si>
  <si>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</si>
  <si>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</si>
  <si>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</si>
  <si>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</si>
  <si>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</si>
  <si>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</si>
  <si>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</si>
  <si>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</si>
  <si>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</si>
  <si>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</si>
  <si>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</si>
  <si>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</si>
  <si>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</si>
  <si>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</si>
  <si>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</si>
  <si>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</si>
  <si>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</si>
  <si>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</si>
  <si>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</si>
  <si>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</si>
  <si>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</si>
  <si>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</si>
  <si>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</si>
  <si>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</si>
  <si>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</si>
  <si>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</si>
  <si>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</si>
  <si>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</si>
  <si>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</si>
  <si>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</si>
  <si>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</si>
  <si>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</si>
  <si>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</si>
  <si>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</si>
  <si>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</si>
  <si>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</si>
  <si>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</si>
  <si>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</si>
  <si>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</si>
  <si>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</si>
  <si>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</si>
  <si>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</si>
  <si>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</si>
  <si>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</si>
  <si>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</si>
  <si>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</si>
  <si>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</si>
  <si>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</si>
  <si>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</si>
  <si>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</si>
  <si>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</si>
  <si>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</si>
  <si>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</si>
  <si>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</si>
  <si>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</si>
  <si>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</si>
  <si>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</si>
  <si>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</si>
  <si>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</si>
  <si>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</si>
  <si>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</si>
  <si>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</si>
  <si>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</si>
  <si>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</si>
  <si>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</si>
  <si>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</si>
  <si>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</si>
  <si>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</si>
  <si>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</si>
  <si>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</si>
  <si>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</si>
  <si>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</si>
  <si>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</si>
  <si>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</si>
  <si>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</si>
  <si>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</si>
  <si>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</si>
  <si>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</si>
  <si>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</si>
  <si>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</si>
  <si>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</si>
  <si>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</si>
  <si>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</si>
  <si>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</si>
  <si>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</si>
  <si>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</si>
  <si>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</si>
  <si>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</si>
  <si>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</si>
  <si>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</si>
  <si>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</si>
  <si>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</si>
  <si>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</si>
  <si>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</si>
  <si>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</si>
  <si>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</si>
  <si>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</si>
  <si>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</si>
  <si>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</si>
  <si>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</si>
  <si>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</si>
  <si>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</si>
  <si>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</si>
  <si>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</si>
  <si>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</si>
  <si>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</si>
  <si>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</si>
  <si>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</si>
  <si>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</si>
  <si>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</si>
  <si>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</si>
  <si>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</si>
  <si>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</si>
  <si>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</si>
  <si>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</si>
  <si>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</si>
  <si>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</si>
  <si>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</si>
  <si>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</si>
  <si>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</si>
  <si>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</si>
  <si>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</si>
  <si>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</si>
  <si>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</si>
  <si>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</si>
  <si>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</si>
  <si>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</si>
  <si>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</si>
  <si>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</si>
  <si>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</si>
  <si>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</si>
  <si>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</si>
  <si>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</si>
  <si>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</si>
  <si>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</si>
  <si>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</si>
  <si>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</si>
  <si>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</si>
  <si>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</si>
  <si>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</si>
  <si>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</si>
  <si>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</si>
  <si>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</si>
  <si>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</si>
  <si>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</si>
  <si>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</si>
  <si>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</si>
  <si>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</si>
  <si>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</si>
  <si>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</si>
  <si>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</si>
  <si>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</si>
  <si>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</si>
  <si>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</si>
  <si>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</si>
  <si>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</si>
  <si>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</si>
  <si>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</si>
  <si>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</si>
  <si>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</si>
  <si>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</si>
  <si>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</si>
  <si>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</si>
  <si>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</si>
  <si>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</si>
  <si>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</si>
  <si>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</si>
  <si>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</si>
  <si>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</si>
  <si>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</si>
  <si>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</si>
  <si>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</si>
  <si>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</si>
  <si>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</si>
  <si>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</si>
  <si>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</si>
  <si>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</si>
  <si>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</si>
  <si>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</si>
  <si>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</si>
  <si>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</si>
  <si>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</si>
  <si>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</si>
  <si>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</si>
  <si>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</si>
  <si>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</si>
  <si>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</si>
  <si>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</si>
  <si>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</si>
  <si>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</si>
  <si>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</si>
  <si>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</si>
  <si>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</si>
  <si>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</si>
  <si>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</si>
  <si>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</si>
  <si>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</si>
  <si>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</si>
  <si>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</si>
  <si>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</si>
  <si>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</si>
  <si>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</si>
  <si>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</si>
  <si>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</si>
  <si>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</si>
  <si>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</si>
  <si>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</si>
  <si>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</si>
  <si>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</si>
  <si>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</si>
  <si>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</si>
  <si>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</si>
  <si>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</si>
  <si>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</si>
  <si>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</si>
  <si>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</si>
  <si>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</si>
  <si>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</si>
  <si>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</si>
  <si>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</si>
  <si>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</si>
  <si>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</si>
  <si>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</si>
  <si>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</si>
  <si>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</si>
  <si>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</si>
  <si>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</si>
  <si>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</si>
  <si>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</si>
  <si>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</si>
  <si>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</si>
  <si>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</si>
  <si>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</si>
  <si>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</si>
  <si>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</si>
  <si>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</si>
  <si>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</si>
  <si>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</si>
  <si>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</si>
  <si>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</si>
  <si>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</si>
  <si>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</si>
  <si>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</si>
  <si>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</si>
  <si>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</si>
  <si>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</si>
  <si>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</si>
  <si>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</si>
  <si>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</si>
  <si>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</si>
  <si>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</si>
  <si>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</si>
  <si>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</si>
  <si>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</si>
  <si>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</si>
  <si>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</si>
  <si>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</si>
  <si>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</si>
  <si>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</si>
  <si>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</si>
  <si>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</si>
  <si>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</si>
  <si>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</si>
  <si>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</si>
  <si>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</si>
  <si>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</si>
  <si>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</si>
  <si>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</si>
  <si>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</si>
  <si>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</si>
  <si>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</si>
  <si>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</si>
  <si>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</si>
  <si>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</si>
  <si>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</si>
  <si>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</si>
  <si>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</si>
  <si>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</si>
  <si>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</si>
  <si>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</si>
  <si>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</si>
  <si>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</si>
  <si>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</si>
  <si>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</si>
  <si>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</si>
  <si>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</si>
  <si>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</si>
  <si>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</si>
  <si>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</si>
  <si>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</si>
  <si>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</si>
  <si>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</si>
  <si>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</si>
  <si>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</si>
  <si>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</si>
  <si>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</si>
  <si>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</si>
  <si>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</si>
  <si>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</si>
  <si>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</si>
  <si>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</si>
  <si>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</si>
  <si>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</si>
  <si>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</si>
  <si>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</si>
  <si>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</si>
  <si>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</si>
  <si>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</si>
  <si>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</si>
  <si>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</si>
  <si>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</si>
  <si>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</si>
  <si>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</si>
  <si>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</si>
  <si>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</si>
  <si>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</si>
  <si>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</si>
  <si>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</si>
  <si>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</si>
  <si>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</si>
  <si>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</si>
  <si>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</si>
  <si>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</si>
  <si>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</si>
  <si>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</si>
  <si>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</si>
  <si>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</si>
  <si>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</si>
  <si>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</si>
  <si>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</si>
  <si>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</si>
  <si>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</si>
  <si>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</si>
  <si>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</si>
  <si>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</si>
  <si>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</si>
  <si>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</si>
  <si>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</si>
  <si>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</si>
  <si>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</si>
  <si>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</si>
  <si>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</si>
  <si>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</si>
  <si>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</si>
  <si>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</si>
  <si>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</si>
  <si>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</si>
  <si>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</si>
  <si>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</si>
  <si>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</si>
  <si>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</si>
  <si>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</si>
  <si>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</si>
  <si>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</si>
  <si>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</si>
  <si>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</si>
  <si>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</si>
  <si>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</si>
  <si>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</si>
  <si>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</si>
  <si>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</si>
  <si>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</si>
  <si>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</si>
  <si>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</si>
  <si>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</si>
  <si>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</si>
  <si>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</si>
  <si>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</si>
  <si>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</si>
  <si>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</si>
  <si>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</si>
  <si>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</si>
  <si>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</si>
  <si>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</si>
  <si>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</si>
  <si>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</si>
  <si>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</si>
  <si>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</si>
  <si>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</si>
  <si>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</si>
  <si>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</si>
  <si>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</si>
  <si>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</si>
  <si>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</si>
  <si>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</si>
  <si>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</si>
  <si>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</si>
  <si>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</si>
  <si>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</si>
  <si>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</si>
  <si>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</si>
  <si>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</si>
  <si>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</si>
  <si>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</si>
  <si>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</si>
  <si>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</si>
  <si>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</si>
  <si>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</si>
  <si>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</si>
  <si>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</si>
  <si>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</si>
  <si>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</si>
  <si>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</si>
  <si>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</si>
  <si>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</si>
  <si>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</si>
  <si>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</si>
  <si>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</si>
  <si>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</si>
  <si>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</si>
  <si>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</si>
  <si>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</si>
  <si>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</si>
  <si>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</si>
  <si>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</si>
  <si>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</si>
  <si>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</si>
  <si>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</si>
  <si>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</si>
  <si>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</si>
  <si>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</si>
  <si>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</si>
  <si>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</si>
  <si>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</si>
  <si>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</si>
  <si>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</si>
  <si>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</si>
  <si>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</si>
  <si>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</si>
  <si>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</si>
  <si>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</si>
  <si>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</si>
  <si>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</si>
  <si>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</si>
  <si>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</si>
  <si>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</si>
  <si>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</si>
  <si>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</si>
  <si>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</si>
  <si>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</si>
  <si>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</si>
  <si>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</si>
  <si>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</si>
  <si>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</si>
  <si>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</si>
  <si>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</si>
  <si>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</si>
  <si>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</si>
  <si>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</si>
  <si>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</si>
  <si>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</si>
  <si>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</si>
  <si>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</si>
  <si>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</si>
  <si>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</si>
  <si>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</si>
  <si>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</si>
  <si>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</si>
  <si>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</si>
  <si>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</si>
  <si>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</si>
  <si>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</si>
  <si>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</si>
  <si>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</si>
  <si>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</si>
  <si>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</si>
  <si>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</si>
  <si>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</si>
  <si>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</si>
  <si>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</si>
  <si>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</si>
  <si>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</si>
  <si>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</si>
  <si>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</si>
  <si>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</si>
  <si>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</si>
  <si>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</si>
  <si>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</si>
  <si>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</si>
  <si>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</si>
  <si>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</si>
  <si>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</si>
  <si>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</si>
  <si>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</si>
  <si>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</si>
  <si>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</si>
  <si>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</si>
  <si>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</si>
  <si>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</si>
  <si>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</si>
  <si>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</si>
  <si>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</si>
  <si>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</si>
  <si>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</si>
  <si>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</si>
  <si>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</si>
  <si>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</si>
  <si>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</si>
  <si>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</si>
  <si>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</si>
  <si>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</si>
  <si>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</si>
  <si>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</si>
  <si>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</si>
  <si>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</si>
  <si>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</si>
  <si>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</si>
  <si>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</si>
  <si>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</si>
  <si>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</si>
  <si>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</si>
  <si>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</si>
  <si>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</si>
  <si>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</si>
  <si>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</si>
  <si>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</si>
  <si>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</si>
  <si>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</si>
  <si>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</si>
  <si>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</si>
  <si>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</si>
  <si>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</si>
  <si>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</si>
  <si>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</si>
  <si>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</si>
  <si>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</si>
  <si>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</si>
  <si>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</si>
  <si>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</si>
  <si>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</si>
  <si>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</si>
  <si>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</si>
  <si>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</si>
  <si>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</si>
  <si>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</si>
  <si>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</si>
  <si>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</si>
  <si>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</si>
  <si>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</si>
  <si>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</si>
  <si>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</si>
  <si>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</si>
  <si>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</si>
  <si>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</si>
  <si>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</si>
  <si>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</si>
  <si>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</si>
  <si>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</si>
  <si>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</si>
  <si>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</si>
  <si>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</si>
  <si>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</si>
  <si>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</si>
  <si>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</si>
  <si>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</si>
  <si>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</si>
  <si>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</si>
  <si>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</si>
  <si>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</si>
  <si>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</si>
  <si>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</si>
  <si>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</si>
  <si>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</si>
  <si>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</si>
  <si>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</si>
  <si>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</si>
  <si>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</si>
  <si>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</si>
  <si>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</si>
  <si>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</si>
  <si>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</si>
  <si>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</si>
  <si>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</si>
  <si>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</si>
  <si>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</si>
  <si>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</si>
  <si>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</si>
  <si>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</si>
  <si>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</si>
  <si>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</si>
  <si>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</si>
  <si>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</si>
  <si>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</si>
  <si>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</si>
  <si>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</si>
  <si>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</si>
  <si>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</si>
  <si>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</si>
  <si>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</si>
  <si>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</si>
  <si>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</si>
  <si>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</si>
  <si>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</si>
  <si>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</si>
  <si>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</si>
  <si>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</si>
  <si>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</si>
  <si>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</si>
  <si>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</si>
  <si>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</si>
  <si>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</si>
  <si>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</si>
  <si>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</si>
  <si>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</si>
  <si>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</si>
  <si>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</si>
  <si>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</si>
  <si>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</si>
  <si>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</si>
  <si>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</si>
  <si>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</si>
  <si>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</si>
  <si>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</si>
  <si>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</si>
  <si>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</si>
  <si>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</si>
  <si>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</si>
  <si>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</si>
  <si>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</si>
  <si>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</si>
  <si>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</si>
  <si>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</si>
  <si>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</si>
  <si>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</si>
  <si>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</si>
  <si>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</si>
  <si>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</si>
  <si>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</si>
  <si>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</si>
  <si>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</si>
  <si>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</si>
  <si>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</si>
  <si>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</si>
  <si>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</si>
  <si>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</si>
  <si>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</si>
  <si>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</si>
  <si>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</si>
  <si>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</si>
  <si>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</si>
  <si>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</si>
  <si>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</si>
  <si>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</si>
  <si>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</si>
  <si>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</si>
  <si>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</si>
  <si>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</si>
  <si>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</si>
  <si>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</si>
  <si>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</si>
  <si>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</si>
  <si>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</si>
  <si>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</si>
  <si>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</si>
  <si>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</si>
  <si>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</si>
  <si>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</si>
  <si>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</si>
  <si>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</si>
  <si>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</si>
  <si>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</si>
  <si>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</si>
  <si>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</si>
  <si>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</si>
  <si>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</si>
  <si>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</si>
  <si>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</si>
  <si>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</si>
  <si>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</si>
  <si>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</si>
  <si>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</si>
  <si>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</si>
  <si>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</si>
  <si>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</si>
  <si>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</si>
  <si>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</si>
  <si>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</si>
  <si>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</si>
  <si>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</si>
  <si>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</si>
  <si>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</si>
  <si>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</si>
  <si>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</si>
  <si>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</si>
  <si>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</si>
  <si>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</si>
  <si>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</si>
  <si>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</si>
  <si>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</si>
  <si>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</si>
  <si>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</si>
  <si>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</si>
  <si>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</si>
  <si>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</si>
  <si>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</si>
  <si>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</si>
  <si>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</si>
  <si>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</si>
  <si>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</si>
  <si>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</si>
  <si>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</si>
  <si>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</si>
  <si>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</si>
  <si>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</si>
  <si>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</si>
  <si>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</si>
  <si>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</si>
  <si>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</si>
  <si>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</si>
  <si>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</si>
  <si>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</si>
  <si>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</si>
  <si>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</si>
  <si>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</si>
  <si>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</si>
  <si>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</si>
  <si>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</si>
  <si>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</si>
  <si>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</si>
  <si>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</si>
  <si>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</si>
  <si>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</si>
  <si>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</si>
  <si>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</si>
  <si>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</si>
  <si>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</si>
  <si>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</si>
  <si>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</si>
  <si>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</si>
  <si>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</si>
  <si>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</si>
  <si>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</si>
  <si>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</si>
  <si>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</si>
  <si>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</si>
  <si>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</si>
  <si>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</si>
  <si>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</si>
  <si>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</si>
  <si>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</si>
  <si>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</si>
  <si>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</si>
  <si>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</si>
  <si>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</si>
  <si>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</si>
  <si>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</si>
  <si>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</si>
  <si>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</si>
  <si>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</si>
  <si>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</si>
  <si>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</si>
  <si>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</si>
  <si>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</si>
  <si>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</si>
  <si>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</si>
  <si>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</si>
  <si>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</si>
  <si>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</si>
  <si>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</si>
  <si>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</si>
  <si>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</si>
  <si>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</si>
  <si>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</si>
  <si>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</si>
  <si>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</si>
  <si>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</si>
  <si>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</si>
  <si>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</si>
  <si>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</si>
  <si>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</si>
  <si>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</si>
  <si>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</si>
  <si>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</si>
  <si>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</si>
  <si>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</si>
  <si>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</si>
  <si>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</si>
  <si>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</si>
  <si>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</si>
  <si>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</si>
  <si>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</si>
  <si>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</si>
  <si>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</si>
  <si>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</si>
  <si>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</si>
  <si>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</si>
  <si>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</si>
  <si>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</si>
  <si>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</si>
  <si>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</si>
  <si>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</si>
  <si>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</si>
  <si>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</si>
  <si>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</si>
  <si>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</si>
  <si>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</si>
  <si>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</si>
  <si>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</si>
  <si>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</si>
  <si>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</si>
  <si>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</si>
  <si>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</si>
  <si>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</si>
  <si>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</si>
  <si>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</si>
  <si>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</si>
  <si>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</si>
  <si>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</si>
  <si>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</si>
  <si>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</si>
  <si>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</si>
  <si>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</si>
  <si>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</si>
  <si>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</si>
  <si>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</si>
  <si>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</si>
  <si>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</si>
  <si>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</si>
  <si>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</si>
  <si>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</si>
  <si>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</si>
  <si>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</si>
  <si>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</si>
  <si>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</si>
  <si>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</si>
  <si>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</si>
  <si>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</si>
  <si>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</si>
  <si>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</si>
  <si>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</si>
  <si>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</si>
  <si>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</si>
  <si>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</si>
  <si>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</si>
  <si>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</si>
  <si>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</si>
  <si>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</si>
  <si>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</si>
  <si>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</si>
  <si>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</si>
  <si>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</si>
  <si>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</si>
  <si>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</si>
  <si>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</si>
  <si>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</si>
  <si>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</si>
  <si>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</si>
  <si>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</si>
  <si>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</si>
  <si>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</si>
  <si>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</si>
  <si>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</si>
  <si>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</si>
  <si>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</si>
  <si>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</si>
  <si>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</si>
  <si>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</si>
  <si>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</si>
  <si>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</si>
  <si>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</si>
  <si>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</si>
  <si>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</si>
  <si>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</si>
  <si>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</si>
  <si>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</si>
  <si>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</si>
  <si>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</si>
  <si>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</si>
  <si>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</si>
  <si>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</si>
  <si>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</si>
  <si>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</si>
  <si>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</si>
  <si>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</si>
  <si>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</si>
  <si>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</si>
  <si>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</si>
  <si>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</si>
  <si>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</si>
  <si>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</si>
  <si>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</si>
  <si>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</si>
  <si>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</si>
  <si>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</si>
  <si>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</si>
  <si>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</si>
  <si>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</si>
  <si>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</si>
  <si>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</si>
  <si>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</si>
  <si>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</si>
  <si>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</si>
  <si>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</si>
  <si>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</si>
  <si>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</si>
  <si>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</si>
  <si>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</si>
  <si>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</si>
  <si>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</si>
  <si>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</si>
  <si>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</si>
  <si>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</si>
  <si>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</si>
  <si>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</si>
  <si>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</si>
  <si>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</si>
  <si>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</si>
  <si>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</si>
  <si>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</si>
  <si>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</si>
  <si>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</si>
  <si>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</si>
  <si>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</si>
  <si>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</si>
  <si>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</si>
  <si>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</si>
  <si>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</si>
  <si>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</si>
  <si>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</si>
  <si>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</si>
  <si>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</si>
  <si>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</si>
  <si>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</si>
  <si>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</si>
  <si>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</si>
  <si>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</si>
  <si>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</si>
  <si>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</si>
  <si>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</si>
  <si>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</si>
  <si>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</si>
  <si>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</si>
  <si>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</si>
  <si>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</si>
  <si>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</si>
  <si>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</si>
  <si>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</si>
  <si>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</si>
  <si>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</si>
  <si>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</si>
  <si>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</si>
  <si>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</si>
  <si>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</si>
  <si>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</si>
  <si>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</si>
  <si>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</si>
  <si>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</si>
  <si>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</si>
  <si>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</si>
  <si>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</si>
  <si>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</si>
  <si>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</si>
  <si>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</si>
  <si>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</si>
  <si>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</si>
  <si>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</si>
  <si>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</si>
  <si>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</si>
  <si>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</si>
  <si>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</si>
  <si>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</si>
  <si>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</si>
  <si>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</si>
  <si>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</si>
  <si>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</si>
  <si>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</si>
  <si>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</si>
  <si>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</si>
  <si>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</si>
  <si>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</si>
  <si>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</si>
  <si>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</si>
  <si>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</si>
  <si>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</si>
  <si>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</si>
  <si>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</si>
  <si>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</si>
  <si>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</si>
  <si>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</si>
  <si>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</si>
  <si>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</si>
  <si>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</si>
  <si>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</si>
  <si>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</si>
  <si>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</si>
  <si>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</si>
  <si>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</si>
  <si>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</si>
  <si>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</si>
  <si>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</si>
  <si>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</si>
  <si>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</si>
  <si>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</si>
  <si>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</si>
  <si>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</si>
  <si>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</si>
  <si>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</si>
  <si>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</si>
  <si>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</si>
  <si>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</si>
  <si>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</si>
  <si>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</si>
  <si>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</si>
  <si>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</si>
  <si>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</si>
  <si>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</si>
  <si>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</si>
  <si>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</si>
  <si>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</si>
  <si>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</si>
  <si>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</si>
  <si>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</si>
  <si>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</si>
  <si>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</si>
  <si>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</si>
  <si>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</si>
  <si>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</si>
  <si>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</si>
  <si>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</si>
  <si>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</si>
  <si>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</si>
  <si>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</si>
  <si>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</si>
  <si>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</si>
  <si>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</si>
  <si>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</si>
  <si>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</si>
  <si>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</si>
  <si>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</si>
  <si>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</si>
  <si>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</si>
  <si>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</si>
  <si>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</si>
  <si>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</si>
  <si>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</si>
  <si>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</si>
  <si>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</si>
  <si>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</si>
  <si>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</si>
  <si>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</si>
  <si>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</si>
  <si>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</si>
  <si>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</si>
  <si>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</si>
  <si>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</si>
  <si>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</si>
  <si>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</si>
  <si>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</si>
  <si>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</si>
  <si>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</si>
  <si>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</si>
  <si>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</si>
  <si>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</si>
  <si>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</si>
  <si>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</si>
  <si>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</si>
  <si>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</si>
  <si>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</si>
  <si>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</si>
  <si>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</si>
  <si>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</si>
  <si>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</si>
  <si>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</si>
  <si>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</si>
  <si>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</si>
  <si>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</si>
  <si>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</si>
  <si>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</si>
  <si>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</si>
  <si>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</si>
  <si>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</si>
  <si>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</si>
  <si>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</si>
  <si>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</si>
  <si>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</si>
  <si>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</si>
  <si>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</si>
  <si>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</si>
  <si>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</si>
  <si>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</si>
  <si>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</si>
  <si>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</si>
  <si>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</si>
  <si>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</si>
  <si>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</si>
  <si>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</si>
  <si>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</si>
  <si>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</si>
  <si>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</si>
  <si>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</si>
  <si>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</si>
  <si>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</si>
  <si>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</si>
  <si>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</si>
  <si>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</si>
  <si>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</si>
  <si>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</si>
  <si>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</si>
  <si>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</si>
  <si>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</si>
  <si>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</si>
  <si>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</si>
  <si>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</si>
  <si>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</si>
  <si>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</si>
  <si>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</si>
  <si>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</si>
  <si>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</si>
  <si>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</si>
  <si>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</si>
  <si>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</si>
  <si>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</si>
  <si>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</si>
  <si>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</si>
  <si>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</si>
  <si>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</si>
  <si>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</si>
  <si>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</si>
  <si>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</si>
  <si>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</si>
  <si>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</si>
  <si>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</si>
  <si>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</si>
  <si>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</si>
  <si>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</si>
  <si>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</si>
  <si>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</si>
  <si>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</si>
  <si>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</si>
  <si>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</si>
  <si>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</si>
  <si>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</si>
  <si>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</si>
  <si>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</si>
  <si>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</si>
  <si>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</si>
  <si>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</si>
  <si>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</si>
  <si>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</si>
  <si>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</si>
  <si>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</si>
  <si>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</si>
  <si>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</si>
  <si>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</si>
  <si>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</si>
  <si>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</si>
  <si>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</si>
  <si>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</si>
  <si>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</si>
  <si>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</si>
  <si>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</si>
  <si>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</si>
  <si>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</si>
  <si>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</si>
  <si>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</si>
  <si>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</si>
  <si>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</si>
  <si>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</si>
  <si>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</si>
  <si>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</si>
  <si>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</si>
  <si>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</si>
  <si>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</si>
  <si>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</si>
  <si>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</si>
  <si>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</si>
  <si>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</si>
  <si>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</si>
  <si>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</si>
  <si>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</si>
  <si>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</si>
  <si>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</si>
  <si>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</si>
  <si>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</si>
  <si>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</si>
  <si>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</si>
  <si>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</si>
  <si>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</si>
  <si>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</si>
  <si>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</si>
  <si>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</si>
  <si>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</si>
  <si>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</si>
  <si>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</si>
  <si>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</si>
  <si>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</si>
  <si>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</si>
  <si>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</si>
  <si>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</si>
  <si>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</si>
  <si>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</si>
  <si>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</si>
  <si>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</si>
  <si>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</si>
  <si>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</si>
  <si>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</si>
  <si>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</si>
  <si>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</si>
  <si>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</si>
  <si>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</si>
  <si>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</si>
  <si>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</si>
  <si>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</si>
  <si>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</si>
  <si>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</si>
  <si>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</si>
  <si>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</si>
  <si>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</si>
  <si>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</si>
  <si>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</si>
  <si>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</si>
  <si>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</si>
  <si>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</si>
  <si>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</si>
  <si>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</si>
  <si>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</si>
  <si>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</si>
  <si>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</si>
  <si>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</si>
  <si>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</si>
  <si>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</si>
  <si>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</si>
  <si>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</si>
  <si>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</si>
  <si>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</si>
  <si>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</si>
  <si>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</si>
  <si>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</si>
  <si>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</si>
  <si>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</si>
  <si>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</si>
  <si>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</si>
  <si>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</si>
  <si>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</si>
  <si>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</si>
  <si>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</si>
  <si>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</si>
  <si>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</si>
  <si>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</si>
  <si>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</si>
  <si>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</si>
  <si>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</si>
  <si>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</si>
  <si>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</si>
  <si>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</si>
  <si>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</si>
  <si>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</si>
  <si>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</si>
  <si>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</si>
  <si>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</si>
  <si>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</si>
  <si>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</si>
  <si>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</si>
  <si>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</si>
  <si>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</si>
  <si>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</si>
  <si>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</si>
  <si>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</si>
  <si>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</si>
  <si>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</si>
  <si>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</si>
  <si>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</si>
  <si>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</si>
  <si>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</si>
  <si>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</si>
  <si>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</si>
  <si>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</si>
  <si>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</si>
  <si>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</si>
  <si>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</si>
  <si>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</si>
  <si>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</si>
  <si>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</si>
  <si>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</si>
  <si>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</si>
  <si>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</si>
  <si>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</si>
  <si>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</si>
  <si>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</si>
  <si>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</si>
  <si>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</si>
  <si>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</si>
  <si>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</si>
  <si>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</si>
  <si>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</si>
  <si>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</si>
  <si>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</si>
  <si>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</si>
  <si>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</si>
  <si>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</si>
  <si>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</si>
  <si>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</si>
  <si>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</si>
  <si>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</si>
  <si>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</si>
  <si>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</si>
  <si>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</si>
  <si>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</si>
  <si>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</si>
  <si>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</si>
  <si>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</si>
  <si>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</si>
  <si>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</si>
  <si>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</si>
  <si>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</si>
  <si>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</si>
  <si>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</si>
  <si>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</si>
  <si>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</si>
  <si>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</si>
  <si>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</si>
  <si>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</si>
  <si>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</si>
  <si>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</si>
  <si>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</si>
  <si>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</si>
  <si>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</si>
  <si>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</si>
  <si>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</si>
  <si>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</si>
  <si>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</si>
  <si>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</si>
  <si>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</si>
  <si>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</si>
  <si>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</si>
  <si>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</si>
  <si>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</si>
  <si>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</si>
  <si>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</si>
  <si>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</si>
  <si>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</si>
  <si>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</si>
  <si>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</si>
  <si>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</si>
  <si>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</si>
  <si>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</si>
  <si>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</si>
  <si>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</si>
  <si>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</si>
  <si>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</si>
  <si>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</si>
  <si>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</si>
  <si>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</si>
  <si>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</si>
  <si>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</si>
  <si>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</si>
  <si>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</si>
  <si>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</si>
  <si>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</si>
  <si>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</si>
  <si>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</si>
  <si>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</si>
  <si>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</si>
  <si>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</si>
  <si>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</si>
  <si>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</si>
  <si>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</si>
  <si>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</si>
  <si>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</si>
  <si>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</si>
  <si>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</si>
  <si>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</si>
  <si>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</si>
  <si>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</si>
  <si>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</si>
  <si>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</si>
  <si>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</si>
  <si>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</si>
  <si>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</si>
  <si>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</si>
  <si>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</si>
  <si>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</si>
  <si>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</si>
  <si>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</si>
  <si>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</si>
  <si>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</si>
  <si>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</si>
  <si>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</si>
  <si>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</si>
  <si>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</si>
  <si>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</si>
  <si>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</si>
  <si>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</si>
  <si>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</si>
  <si>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</si>
  <si>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</si>
  <si>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</si>
  <si>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</si>
  <si>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</si>
  <si>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</si>
  <si>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</si>
  <si>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</si>
  <si>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</si>
  <si>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</si>
  <si>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</si>
  <si>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</si>
  <si>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</si>
  <si>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</si>
  <si>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</si>
  <si>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</si>
  <si>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</si>
  <si>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</si>
  <si>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</si>
  <si>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</si>
  <si>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</si>
  <si>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</si>
  <si>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</si>
  <si>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</si>
  <si>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</si>
  <si>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</si>
  <si>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</si>
  <si>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</si>
  <si>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</si>
  <si>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</si>
  <si>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</si>
  <si>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</si>
  <si>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</si>
  <si>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</si>
  <si>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</si>
  <si>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</si>
  <si>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</si>
  <si>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</si>
  <si>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</si>
  <si>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</si>
  <si>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</si>
  <si>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</si>
  <si>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</si>
  <si>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</si>
  <si>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</si>
  <si>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</si>
  <si>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</si>
  <si>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</si>
  <si>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</si>
  <si>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</si>
  <si>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</si>
  <si>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</si>
  <si>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</si>
  <si>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</si>
  <si>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</si>
  <si>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</si>
  <si>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</si>
  <si>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</si>
  <si>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</si>
  <si>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</si>
  <si>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</si>
  <si>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</si>
  <si>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</si>
  <si>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</si>
  <si>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</si>
  <si>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</si>
  <si>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</si>
  <si>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</si>
  <si>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</si>
  <si>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</si>
  <si>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</si>
  <si>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</si>
  <si>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</si>
  <si>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</si>
  <si>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</si>
  <si>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</si>
  <si>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</si>
  <si>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</si>
  <si>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</si>
  <si>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</si>
  <si>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</si>
  <si>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</si>
  <si>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</si>
  <si>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</si>
  <si>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</si>
  <si>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</si>
  <si>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</si>
  <si>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</si>
  <si>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</si>
  <si>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</si>
  <si>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</si>
  <si>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</si>
  <si>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</si>
  <si>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</si>
  <si>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</si>
  <si>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</si>
  <si>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</si>
  <si>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</si>
  <si>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</si>
  <si>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</si>
  <si>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</si>
  <si>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</si>
  <si>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</si>
  <si>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</si>
  <si>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</si>
  <si>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</si>
  <si>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</si>
  <si>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</si>
  <si>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</si>
  <si>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</si>
  <si>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</si>
  <si>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</si>
  <si>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</si>
  <si>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</si>
  <si>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</si>
  <si>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</si>
  <si>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</si>
  <si>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</si>
  <si>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</si>
  <si>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</si>
  <si>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</si>
  <si>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</si>
  <si>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</si>
  <si>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</si>
  <si>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</si>
  <si>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</si>
  <si>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</si>
  <si>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</si>
  <si>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</si>
  <si>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</si>
  <si>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</si>
  <si>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</si>
  <si>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</si>
  <si>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</si>
  <si>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</si>
  <si>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</si>
  <si>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</si>
  <si>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</si>
  <si>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</si>
  <si>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</si>
  <si>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</si>
  <si>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</si>
  <si>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</si>
  <si>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</si>
  <si>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</si>
  <si>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</si>
  <si>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</si>
  <si>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</si>
  <si>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</si>
  <si>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</si>
  <si>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</si>
  <si>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</si>
  <si>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</si>
  <si>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</si>
  <si>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</si>
  <si>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</si>
  <si>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</si>
  <si>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</si>
  <si>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</si>
  <si>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</si>
  <si>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</si>
  <si>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</si>
  <si>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</si>
  <si>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</si>
  <si>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</si>
  <si>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</si>
  <si>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</si>
  <si>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</si>
  <si>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</si>
  <si>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</si>
  <si>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</si>
  <si>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</si>
  <si>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</si>
  <si>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</si>
  <si>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</si>
  <si>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</si>
  <si>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</si>
  <si>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</si>
  <si>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</si>
  <si>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</si>
  <si>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</si>
  <si>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</si>
  <si>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</si>
  <si>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</si>
  <si>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</si>
  <si>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</si>
  <si>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</si>
  <si>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</si>
  <si>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</si>
  <si>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</si>
  <si>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</si>
  <si>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</si>
  <si>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</si>
  <si>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</si>
  <si>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</si>
  <si>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</si>
  <si>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</si>
  <si>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</si>
  <si>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</si>
  <si>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</si>
  <si>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</si>
  <si>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</si>
  <si>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</si>
  <si>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</si>
  <si>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</si>
  <si>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</si>
  <si>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</si>
  <si>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</si>
  <si>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</si>
  <si>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</si>
  <si>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</si>
  <si>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</si>
  <si>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</si>
  <si>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</si>
  <si>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</si>
  <si>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</si>
  <si>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</si>
  <si>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</si>
  <si>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</si>
  <si>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</si>
  <si>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</si>
  <si>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</si>
  <si>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</si>
  <si>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</si>
  <si>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</si>
  <si>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</si>
  <si>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</si>
  <si>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</si>
  <si>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</si>
  <si>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</si>
  <si>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</si>
  <si>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</si>
  <si>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</si>
  <si>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</si>
  <si>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</si>
  <si>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</si>
  <si>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</si>
  <si>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</si>
  <si>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</si>
  <si>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</si>
  <si>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</si>
  <si>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</si>
  <si>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</si>
  <si>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</si>
  <si>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</si>
  <si>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</si>
  <si>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</si>
  <si>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</si>
  <si>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</si>
  <si>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</si>
  <si>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</si>
  <si>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</si>
  <si>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</si>
  <si>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</si>
  <si>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</si>
  <si>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</si>
  <si>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</si>
  <si>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</si>
  <si>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</si>
  <si>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</si>
  <si>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</si>
  <si>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</si>
  <si>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</si>
  <si>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</si>
  <si>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</si>
  <si>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</si>
  <si>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</si>
  <si>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</si>
  <si>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</si>
  <si>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</si>
  <si>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</si>
  <si>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</si>
  <si>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</si>
  <si>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</si>
  <si>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</si>
  <si>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</si>
  <si>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</si>
  <si>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</si>
  <si>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</si>
  <si>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</si>
  <si>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</si>
  <si>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</si>
  <si>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</si>
  <si>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</si>
  <si>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</si>
  <si>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</si>
  <si>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</si>
  <si>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</si>
  <si>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</si>
  <si>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</si>
  <si>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</si>
  <si>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</si>
  <si>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</si>
  <si>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</si>
  <si>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</si>
  <si>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</si>
  <si>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</si>
  <si>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</si>
  <si>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</si>
  <si>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</si>
  <si>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</si>
  <si>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</si>
  <si>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</si>
  <si>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</si>
  <si>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</si>
  <si>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</si>
  <si>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</si>
  <si>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</si>
  <si>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</si>
  <si>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</si>
  <si>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</si>
  <si>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</si>
  <si>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</si>
  <si>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</si>
  <si>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</si>
  <si>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</si>
  <si>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</si>
  <si>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</si>
  <si>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</si>
  <si>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</si>
  <si>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</si>
  <si>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</si>
  <si>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</si>
  <si>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</si>
  <si>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</si>
  <si>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</si>
  <si>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</si>
  <si>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</si>
  <si>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</si>
  <si>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</si>
  <si>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</si>
  <si>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</si>
  <si>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</si>
  <si>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</si>
  <si>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</si>
  <si>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</si>
  <si>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</si>
  <si>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</si>
  <si>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</si>
  <si>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</si>
  <si>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</si>
  <si>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</si>
  <si>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</si>
  <si>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</si>
  <si>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</si>
  <si>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</si>
  <si>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</si>
  <si>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</si>
  <si>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</si>
  <si>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</si>
  <si>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</si>
  <si>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</si>
  <si>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</si>
  <si>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</si>
  <si>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</si>
  <si>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</si>
  <si>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</si>
  <si>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</si>
  <si>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</si>
  <si>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</si>
  <si>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</si>
  <si>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</si>
  <si>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</si>
  <si>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</si>
  <si>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</si>
  <si>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</si>
  <si>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</si>
  <si>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</si>
  <si>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</si>
  <si>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</si>
  <si>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</si>
  <si>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</si>
  <si>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</si>
  <si>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</si>
  <si>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</si>
  <si>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</si>
  <si>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</si>
  <si>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</si>
  <si>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</si>
  <si>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</si>
  <si>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</si>
  <si>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</si>
  <si>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</si>
  <si>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</si>
  <si>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</si>
  <si>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</si>
  <si>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</si>
  <si>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</si>
  <si>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</si>
  <si>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</si>
  <si>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</si>
  <si>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</si>
  <si>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</si>
  <si>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</si>
  <si>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</si>
  <si>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</si>
  <si>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</si>
  <si>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</si>
  <si>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</si>
  <si>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</si>
  <si>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</si>
  <si>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</si>
  <si>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</si>
  <si>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</si>
  <si>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</si>
  <si>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</si>
  <si>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</si>
  <si>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</si>
  <si>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</si>
  <si>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</si>
  <si>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</si>
  <si>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</si>
  <si>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</si>
  <si>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</si>
  <si>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</si>
  <si>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</si>
  <si>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</si>
  <si>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</si>
  <si>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</si>
  <si>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</si>
  <si>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</si>
  <si>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</si>
  <si>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</si>
  <si>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</si>
  <si>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</si>
  <si>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</si>
  <si>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</si>
  <si>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</si>
  <si>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</si>
  <si>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</si>
  <si>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</si>
  <si>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</si>
  <si>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</si>
  <si>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</si>
  <si>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</si>
  <si>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</si>
  <si>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</si>
  <si>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</si>
  <si>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</si>
  <si>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</si>
  <si>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</si>
  <si>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</si>
  <si>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</si>
  <si>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</si>
  <si>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</si>
  <si>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</si>
  <si>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</si>
  <si>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</si>
  <si>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</si>
  <si>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</si>
  <si>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</si>
  <si>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</si>
  <si>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</si>
  <si>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</si>
  <si>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</si>
  <si>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</si>
  <si>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</si>
  <si>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</si>
  <si>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</si>
  <si>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</si>
  <si>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</si>
  <si>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</si>
  <si>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</si>
  <si>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</si>
  <si>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</si>
  <si>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</si>
  <si>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</si>
  <si>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</si>
  <si>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</si>
  <si>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</si>
  <si>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</si>
  <si>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</si>
  <si>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</si>
  <si>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</si>
  <si>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</si>
  <si>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</si>
  <si>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</si>
  <si>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</si>
  <si>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</si>
  <si>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</si>
  <si>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</si>
  <si>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</si>
  <si>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</si>
  <si>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</si>
  <si>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</si>
  <si>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</si>
  <si>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</si>
  <si>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</si>
  <si>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</si>
  <si>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</si>
  <si>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</si>
  <si>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</si>
  <si>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</si>
  <si>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</si>
  <si>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</si>
  <si>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</si>
  <si>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</si>
  <si>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</si>
  <si>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</si>
  <si>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</si>
  <si>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</si>
  <si>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</si>
  <si>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</si>
  <si>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</si>
  <si>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</si>
  <si>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</si>
  <si>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</si>
  <si>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</si>
  <si>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</si>
  <si>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</si>
  <si>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</si>
  <si>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</si>
  <si>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</si>
  <si>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</si>
  <si>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</si>
  <si>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</si>
  <si>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</si>
  <si>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</si>
  <si>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</si>
  <si>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</si>
  <si>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</si>
  <si>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</si>
  <si>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</si>
  <si>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</si>
  <si>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</si>
  <si>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</si>
  <si>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</si>
  <si>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</si>
  <si>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</si>
  <si>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</si>
  <si>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</si>
  <si>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</si>
  <si>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</si>
  <si>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</si>
  <si>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</si>
  <si>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</si>
  <si>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</si>
  <si>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</si>
  <si>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</si>
  <si>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</si>
  <si>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</si>
  <si>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</si>
  <si>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</si>
  <si>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</si>
  <si>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</si>
  <si>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</si>
  <si>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</si>
  <si>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</si>
  <si>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</si>
  <si>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</si>
  <si>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</si>
  <si>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</si>
  <si>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</si>
  <si>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</si>
  <si>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</si>
  <si>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</si>
  <si>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</si>
  <si>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</si>
  <si>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</si>
  <si>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</si>
  <si>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</si>
  <si>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</si>
  <si>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</si>
  <si>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</si>
  <si>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</si>
  <si>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</si>
  <si>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</si>
  <si>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</si>
  <si>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</si>
  <si>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</si>
  <si>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</si>
  <si>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</si>
  <si>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</si>
  <si>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</si>
  <si>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</si>
  <si>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</si>
  <si>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</si>
  <si>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</si>
  <si>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</si>
  <si>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</si>
  <si>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</si>
  <si>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</si>
  <si>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</si>
  <si>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</si>
  <si>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</si>
  <si>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</si>
  <si>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</si>
  <si>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</si>
  <si>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</si>
  <si>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</si>
  <si>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</si>
  <si>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</si>
  <si>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</si>
  <si>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</si>
  <si>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</si>
  <si>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</si>
  <si>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</si>
  <si>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</si>
  <si>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</si>
  <si>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</si>
  <si>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</si>
  <si>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</si>
  <si>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</si>
  <si>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</si>
  <si>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</si>
  <si>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</si>
  <si>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</si>
  <si>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</si>
  <si>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</si>
  <si>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</si>
  <si>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</si>
  <si>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</si>
  <si>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</si>
  <si>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</si>
  <si>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</si>
  <si>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</si>
  <si>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</si>
  <si>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</si>
  <si>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</si>
  <si>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</si>
  <si>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</si>
  <si>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</si>
  <si>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</si>
  <si>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</si>
  <si>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</si>
  <si>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</si>
  <si>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</si>
  <si>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</si>
  <si>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</si>
  <si>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</si>
  <si>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</si>
  <si>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</si>
  <si>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</si>
  <si>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</si>
  <si>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</si>
  <si>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</si>
  <si>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</si>
  <si>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</si>
  <si>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</si>
  <si>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</si>
  <si>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</si>
  <si>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</si>
  <si>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</si>
  <si>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</si>
  <si>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</si>
  <si>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</si>
  <si>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</si>
  <si>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</si>
  <si>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</si>
  <si>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</si>
  <si>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</si>
  <si>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</si>
  <si>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</si>
  <si>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</si>
  <si>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</si>
  <si>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</si>
  <si>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</si>
  <si>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</si>
  <si>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</si>
  <si>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</si>
  <si>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</si>
  <si>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</si>
  <si>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</si>
  <si>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</si>
  <si>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</si>
  <si>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</si>
  <si>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</si>
  <si>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</si>
  <si>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</si>
  <si>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</si>
  <si>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</si>
  <si>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</si>
  <si>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</si>
  <si>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</si>
  <si>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</si>
  <si>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</si>
  <si>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</si>
  <si>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</si>
  <si>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</si>
  <si>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</si>
  <si>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</si>
  <si>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</si>
  <si>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</si>
  <si>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</si>
  <si>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</si>
  <si>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</si>
  <si>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</si>
  <si>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</si>
  <si>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</si>
  <si>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</si>
  <si>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</si>
  <si>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</si>
  <si>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</si>
  <si>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</si>
  <si>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</si>
  <si>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</si>
  <si>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</si>
  <si>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</si>
  <si>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</si>
  <si>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</si>
  <si>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</si>
  <si>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</si>
  <si>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</si>
  <si>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</si>
  <si>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</si>
  <si>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</si>
  <si>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</si>
  <si>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</si>
  <si>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</si>
  <si>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</si>
  <si>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</si>
  <si>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</si>
  <si>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</si>
  <si>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</si>
  <si>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</si>
  <si>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</si>
  <si>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</si>
  <si>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</si>
  <si>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</si>
  <si>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</si>
  <si>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</si>
  <si>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</si>
  <si>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</si>
  <si>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</si>
  <si>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</si>
  <si>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</si>
  <si>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</si>
  <si>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</si>
  <si>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</si>
  <si>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</si>
  <si>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</si>
  <si>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</si>
  <si>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</si>
  <si>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</si>
  <si>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</si>
  <si>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</si>
  <si>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</si>
  <si>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</si>
  <si>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</si>
  <si>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</si>
  <si>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</si>
  <si>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</si>
  <si>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</si>
  <si>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</si>
  <si>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</si>
  <si>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</si>
  <si>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</si>
  <si>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</si>
  <si>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</si>
  <si>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</si>
  <si>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</si>
  <si>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</si>
  <si>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</si>
  <si>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</si>
  <si>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</si>
  <si>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</si>
  <si>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</si>
  <si>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</si>
  <si>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</si>
  <si>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</si>
  <si>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</si>
  <si>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</si>
  <si>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</si>
  <si>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</si>
  <si>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</si>
  <si>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</si>
  <si>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</si>
  <si>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</si>
  <si>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</si>
  <si>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</si>
  <si>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</si>
  <si>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</si>
  <si>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</si>
  <si>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</si>
  <si>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</si>
  <si>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</si>
  <si>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</si>
  <si>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</si>
  <si>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</si>
  <si>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</si>
  <si>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</si>
  <si>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</si>
  <si>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</si>
  <si>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</si>
  <si>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</si>
  <si>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</si>
  <si>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</si>
  <si>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</si>
  <si>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</si>
  <si>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</si>
  <si>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</si>
  <si>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</si>
  <si>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</si>
  <si>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</si>
  <si>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</si>
  <si>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</si>
  <si>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</si>
  <si>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</si>
  <si>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</si>
  <si>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</si>
  <si>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</si>
  <si>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</si>
  <si>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</si>
  <si>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</si>
  <si>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</si>
  <si>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</si>
  <si>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</si>
  <si>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</si>
  <si>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</si>
  <si>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</si>
  <si>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</si>
  <si>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</si>
  <si>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</si>
  <si>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</si>
  <si>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</si>
  <si>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</si>
  <si>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</si>
  <si>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</si>
  <si>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</si>
  <si>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</si>
  <si>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</si>
  <si>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</si>
  <si>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</si>
  <si>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</si>
  <si>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</si>
  <si>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</si>
  <si>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</si>
  <si>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</si>
  <si>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</si>
  <si>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</si>
  <si>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</si>
  <si>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</si>
  <si>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</si>
  <si>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</si>
  <si>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</si>
  <si>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</si>
  <si>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</si>
  <si>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</si>
  <si>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</si>
  <si>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</si>
  <si>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</si>
  <si>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</si>
  <si>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</si>
  <si>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</si>
  <si>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</si>
  <si>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</si>
  <si>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</si>
  <si>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</si>
  <si>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</si>
  <si>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</si>
  <si>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</si>
  <si>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</si>
  <si>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</si>
  <si>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</si>
  <si>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</si>
  <si>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</si>
  <si>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</si>
  <si>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</si>
  <si>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</si>
  <si>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</si>
  <si>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</si>
  <si>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</si>
  <si>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</si>
  <si>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</si>
  <si>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</si>
  <si>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</si>
  <si>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</si>
  <si>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</si>
  <si>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</si>
  <si>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</si>
  <si>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</si>
  <si>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</si>
  <si>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</si>
  <si>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</si>
  <si>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</si>
  <si>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</si>
  <si>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</si>
  <si>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</si>
  <si>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</si>
  <si>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</si>
  <si>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</si>
  <si>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</si>
  <si>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</si>
  <si>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</si>
  <si>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</si>
  <si>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</si>
  <si>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</si>
  <si>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</si>
  <si>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</si>
  <si>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</si>
  <si>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</si>
  <si>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</si>
  <si>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</si>
  <si>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</si>
  <si>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</si>
  <si>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</si>
  <si>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</si>
  <si>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</si>
  <si>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</si>
  <si>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</si>
  <si>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</si>
  <si>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</si>
  <si>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</si>
  <si>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</si>
  <si>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</si>
  <si>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</si>
  <si>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</si>
  <si>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</si>
  <si>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</si>
  <si>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</si>
  <si>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</si>
  <si>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</si>
  <si>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</si>
  <si>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</si>
  <si>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</si>
  <si>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</si>
  <si>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</si>
  <si>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</si>
  <si>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</si>
  <si>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</si>
  <si>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</si>
  <si>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</si>
  <si>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</si>
  <si>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</si>
  <si>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</si>
  <si>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</si>
  <si>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</si>
  <si>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</si>
  <si>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</si>
  <si>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</si>
  <si>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</si>
  <si>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</si>
  <si>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</si>
  <si>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</si>
  <si>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</si>
  <si>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</si>
  <si>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</si>
  <si>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</si>
  <si>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</si>
  <si>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</si>
  <si>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</si>
  <si>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</si>
  <si>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</si>
  <si>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</si>
  <si>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</si>
  <si>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</si>
  <si>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</si>
  <si>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</si>
  <si>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</si>
  <si>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</si>
  <si>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</si>
  <si>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</si>
  <si>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</si>
  <si>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</si>
  <si>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</si>
  <si>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</si>
  <si>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</si>
  <si>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</si>
  <si>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</si>
  <si>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</si>
  <si>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</si>
  <si>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</si>
  <si>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</si>
  <si>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</si>
  <si>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</si>
  <si>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</si>
  <si>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</si>
  <si>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</si>
  <si>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</si>
  <si>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</si>
  <si>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</si>
  <si>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</si>
  <si>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</si>
  <si>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</si>
  <si>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</si>
  <si>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</si>
  <si>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</si>
  <si>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</si>
  <si>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</si>
  <si>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</si>
  <si>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</si>
  <si>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</si>
  <si>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</si>
  <si>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</si>
  <si>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</si>
  <si>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</si>
  <si>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</si>
  <si>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</si>
  <si>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</si>
  <si>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</si>
  <si>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</si>
  <si>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</si>
  <si>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</si>
  <si>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</si>
  <si>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</si>
  <si>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</si>
  <si>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</si>
  <si>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</si>
  <si>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</si>
  <si>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</si>
  <si>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</si>
  <si>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</si>
  <si>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</si>
  <si>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</si>
  <si>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</si>
  <si>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</si>
  <si>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</si>
  <si>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</si>
  <si>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</si>
  <si>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</si>
  <si>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</si>
  <si>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</si>
  <si>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</si>
  <si>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</si>
  <si>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</si>
  <si>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</si>
  <si>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</si>
  <si>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</si>
  <si>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</si>
  <si>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</si>
  <si>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</si>
  <si>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</si>
  <si>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</si>
  <si>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</si>
  <si>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</si>
  <si>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</si>
  <si>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</si>
  <si>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</si>
  <si>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</si>
  <si>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</si>
  <si>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</si>
  <si>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</si>
  <si>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</si>
  <si>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</si>
  <si>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</si>
  <si>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</si>
  <si>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</si>
  <si>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</si>
  <si>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</si>
  <si>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</si>
  <si>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</si>
  <si>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</si>
  <si>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</si>
  <si>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</si>
  <si>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</si>
  <si>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</si>
  <si>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</si>
  <si>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</si>
  <si>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</si>
  <si>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</si>
  <si>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</si>
  <si>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</si>
  <si>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</si>
  <si>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</si>
  <si>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</si>
  <si>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</si>
  <si>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</si>
  <si>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</si>
  <si>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</si>
  <si>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</si>
  <si>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</si>
  <si>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</si>
  <si>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</si>
  <si>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</si>
  <si>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</si>
  <si>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</si>
  <si>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</si>
  <si>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</si>
  <si>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</si>
  <si>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</si>
  <si>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</si>
  <si>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</si>
  <si>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</si>
  <si>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</si>
  <si>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</si>
  <si>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</si>
  <si>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</si>
  <si>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</si>
  <si>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</si>
  <si>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</si>
  <si>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</si>
  <si>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</si>
  <si>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</si>
  <si>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</si>
  <si>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</si>
  <si>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</si>
  <si>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</si>
  <si>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</si>
  <si>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</si>
  <si>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</si>
  <si>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</si>
  <si>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</si>
  <si>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</si>
  <si>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</si>
  <si>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</si>
  <si>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</si>
  <si>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</si>
  <si>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</si>
  <si>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</si>
  <si>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</si>
  <si>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</si>
  <si>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</si>
  <si>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</si>
  <si>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</si>
  <si>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</si>
  <si>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</si>
  <si>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</si>
  <si>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</si>
  <si>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</si>
  <si>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</si>
  <si>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</si>
  <si>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</si>
  <si>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</si>
  <si>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</si>
  <si>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</si>
  <si>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</si>
  <si>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</si>
  <si>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</si>
  <si>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</si>
  <si>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</si>
  <si>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</si>
  <si>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</si>
  <si>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</si>
  <si>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</si>
  <si>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</si>
  <si>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</si>
  <si>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</si>
  <si>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</si>
  <si>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</si>
  <si>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</si>
  <si>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</si>
  <si>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</si>
  <si>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</si>
  <si>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</si>
  <si>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</si>
  <si>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</si>
  <si>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</si>
  <si>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</si>
  <si>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</si>
  <si>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</si>
  <si>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</si>
  <si>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</si>
  <si>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</si>
  <si>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</si>
  <si>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</si>
  <si>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</si>
  <si>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</si>
  <si>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</si>
  <si>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</si>
  <si>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</si>
  <si>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</si>
  <si>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</si>
  <si>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</si>
  <si>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</si>
  <si>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</si>
  <si>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</si>
  <si>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</si>
  <si>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</si>
  <si>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</si>
  <si>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</si>
  <si>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</si>
  <si>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</si>
  <si>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</si>
  <si>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</si>
  <si>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</si>
  <si>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</si>
  <si>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</si>
  <si>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</si>
  <si>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</si>
  <si>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</si>
  <si>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</si>
  <si>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</si>
  <si>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</si>
  <si>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</si>
  <si>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</si>
  <si>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</si>
  <si>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</si>
  <si>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</si>
  <si>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</si>
  <si>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</si>
  <si>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</si>
  <si>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</si>
  <si>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</si>
  <si>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</si>
  <si>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</si>
  <si>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</si>
  <si>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</si>
  <si>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</si>
  <si>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</si>
  <si>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</si>
  <si>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</si>
  <si>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</si>
  <si>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</si>
  <si>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</si>
  <si>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</si>
  <si>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</si>
  <si>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</si>
  <si>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</si>
  <si>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</si>
  <si>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</si>
  <si>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</si>
  <si>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</si>
  <si>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</si>
  <si>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</si>
  <si>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</si>
  <si>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</si>
  <si>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</si>
  <si>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</si>
  <si>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</si>
  <si>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</si>
  <si>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</si>
  <si>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</si>
  <si>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</si>
  <si>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</si>
  <si>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</si>
  <si>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</si>
  <si>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</si>
  <si>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</si>
  <si>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</si>
  <si>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</si>
  <si>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</si>
  <si>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</si>
  <si>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</si>
  <si>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</si>
  <si>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</si>
  <si>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</si>
  <si>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</si>
  <si>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</si>
  <si>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</si>
  <si>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</si>
  <si>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</si>
  <si>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</si>
  <si>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</si>
  <si>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</si>
  <si>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</si>
  <si>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</si>
  <si>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</si>
  <si>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</si>
  <si>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</si>
  <si>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</si>
  <si>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</si>
  <si>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</si>
  <si>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</si>
  <si>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</si>
  <si>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</si>
  <si>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</si>
  <si>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</si>
  <si>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</si>
  <si>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</si>
  <si>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</si>
  <si>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</si>
  <si>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</si>
  <si>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</si>
  <si>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</si>
  <si>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</si>
  <si>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</si>
  <si>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</si>
  <si>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</si>
  <si>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</si>
  <si>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</si>
  <si>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</si>
  <si>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</si>
  <si>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</si>
  <si>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</si>
  <si>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</si>
  <si>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</si>
  <si>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</si>
  <si>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</si>
  <si>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</si>
  <si>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</si>
  <si>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</si>
  <si>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</si>
  <si>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</si>
  <si>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</si>
  <si>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</si>
  <si>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</si>
  <si>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</si>
  <si>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</si>
  <si>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</si>
  <si>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</si>
  <si>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</si>
  <si>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</si>
  <si>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</si>
  <si>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</si>
  <si>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</si>
  <si>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</si>
  <si>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</si>
  <si>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</si>
  <si>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</si>
  <si>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</si>
  <si>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</si>
  <si>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</si>
  <si>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</si>
  <si>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</si>
  <si>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</si>
  <si>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</si>
  <si>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</si>
  <si>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</si>
  <si>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</si>
  <si>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</si>
  <si>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</si>
  <si>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</si>
  <si>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</si>
  <si>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</si>
  <si>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</si>
  <si>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</si>
  <si>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</si>
  <si>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</si>
  <si>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</si>
  <si>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</si>
  <si>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</si>
  <si>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</si>
  <si>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</si>
  <si>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</si>
  <si>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</si>
  <si>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</si>
  <si>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</si>
  <si>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</si>
  <si>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</si>
  <si>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</si>
  <si>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</si>
  <si>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</si>
  <si>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</si>
  <si>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</si>
  <si>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</si>
  <si>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</si>
  <si>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</si>
  <si>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</si>
  <si>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</si>
  <si>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</si>
  <si>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</si>
  <si>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</si>
  <si>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</si>
  <si>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</si>
  <si>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</si>
  <si>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</si>
  <si>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</si>
  <si>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</si>
  <si>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</si>
  <si>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</si>
  <si>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</si>
  <si>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</si>
  <si>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</si>
  <si>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</si>
  <si>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</si>
  <si>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</si>
  <si>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</si>
  <si>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</si>
  <si>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</si>
  <si>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</si>
  <si>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</si>
  <si>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</si>
  <si>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</si>
  <si>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</si>
  <si>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</si>
  <si>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</si>
  <si>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</si>
  <si>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</si>
  <si>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</si>
  <si>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</si>
  <si>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</si>
  <si>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</si>
  <si>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</si>
  <si>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</si>
  <si>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</si>
  <si>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</si>
  <si>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</si>
  <si>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</si>
  <si>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</si>
  <si>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</si>
  <si>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</si>
  <si>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</si>
  <si>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</si>
  <si>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</si>
  <si>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</si>
  <si>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</si>
  <si>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</si>
  <si>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</si>
  <si>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</si>
  <si>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</si>
  <si>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</si>
  <si>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</si>
  <si>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</si>
  <si>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</si>
  <si>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</si>
  <si>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</si>
  <si>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</si>
  <si>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</si>
  <si>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</si>
  <si>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</si>
  <si>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</si>
  <si>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</si>
  <si>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</si>
  <si>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</si>
  <si>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</si>
  <si>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</si>
  <si>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</si>
  <si>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</si>
  <si>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</si>
  <si>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</si>
  <si>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</si>
  <si>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</si>
  <si>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</si>
  <si>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</si>
  <si>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</si>
  <si>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</si>
  <si>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</si>
  <si>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</si>
  <si>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</si>
  <si>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</si>
  <si>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</si>
  <si>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</si>
  <si>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</si>
  <si>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</si>
  <si>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</si>
  <si>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</si>
  <si>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</si>
  <si>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</si>
  <si>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</si>
  <si>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</si>
  <si>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</si>
  <si>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</si>
  <si>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</si>
  <si>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</si>
  <si>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</si>
  <si>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</si>
  <si>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</si>
  <si>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</si>
  <si>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</si>
  <si>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</si>
  <si>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</si>
  <si>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</si>
  <si>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</si>
  <si>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</si>
  <si>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</si>
  <si>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</si>
  <si>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</si>
  <si>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</si>
  <si>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</si>
  <si>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</si>
  <si>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</si>
  <si>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</si>
  <si>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</si>
  <si>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</si>
  <si>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</si>
  <si>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</si>
  <si>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</si>
  <si>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</si>
  <si>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</si>
  <si>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</si>
  <si>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</si>
  <si>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</si>
  <si>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</si>
  <si>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</si>
  <si>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</si>
  <si>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</si>
  <si>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</si>
  <si>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</si>
  <si>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</si>
  <si>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</si>
  <si>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</si>
  <si>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</si>
  <si>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</si>
  <si>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</si>
  <si>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</si>
  <si>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</si>
  <si>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</si>
  <si>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</si>
  <si>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</si>
  <si>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</si>
  <si>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</si>
  <si>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</si>
  <si>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</si>
  <si>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</si>
  <si>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</si>
  <si>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</si>
  <si>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</si>
  <si>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</si>
  <si>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</si>
  <si>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</si>
  <si>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</si>
  <si>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</si>
  <si>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</si>
  <si>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</si>
  <si>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</si>
  <si>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</si>
  <si>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</si>
  <si>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</si>
  <si>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</si>
  <si>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</si>
  <si>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</si>
  <si>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</si>
  <si>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</si>
  <si>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</si>
  <si>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</si>
  <si>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</si>
  <si>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</si>
  <si>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</si>
  <si>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</si>
  <si>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</si>
  <si>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</si>
  <si>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</si>
  <si>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</si>
  <si>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</si>
  <si>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</si>
  <si>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</si>
  <si>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</si>
  <si>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</si>
  <si>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</si>
  <si>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</si>
  <si>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</si>
  <si>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</si>
  <si>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</si>
  <si>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</si>
  <si>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</si>
  <si>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</si>
  <si>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</si>
  <si>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</si>
  <si>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</si>
  <si>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</si>
  <si>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</si>
  <si>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</si>
  <si>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</si>
  <si>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</si>
  <si>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</si>
  <si>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</si>
  <si>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</si>
  <si>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</si>
  <si>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</si>
  <si>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</si>
  <si>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</si>
  <si>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</si>
  <si>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</si>
  <si>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</si>
  <si>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</si>
  <si>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</si>
  <si>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</si>
  <si>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</si>
  <si>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</si>
  <si>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</si>
  <si>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</si>
  <si>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</si>
  <si>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</si>
  <si>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</si>
  <si>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</si>
  <si>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</si>
  <si>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</si>
  <si>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</si>
  <si>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</si>
  <si>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</si>
  <si>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</si>
  <si>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</si>
  <si>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</si>
  <si>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</si>
  <si>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</si>
  <si>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</si>
  <si>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</si>
  <si>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</si>
  <si>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</si>
  <si>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</si>
  <si>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</si>
  <si>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</si>
  <si>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</si>
  <si>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</si>
  <si>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</si>
  <si>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</si>
  <si>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</si>
  <si>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</si>
  <si>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</si>
  <si>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</si>
  <si>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</si>
  <si>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</si>
  <si>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</si>
  <si>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</si>
  <si>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</si>
  <si>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</si>
  <si>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</si>
  <si>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</si>
  <si>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</si>
  <si>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</si>
  <si>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</si>
  <si>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</si>
  <si>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</si>
  <si>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</si>
  <si>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</si>
  <si>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</si>
  <si>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</si>
  <si>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</si>
  <si>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</si>
  <si>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</si>
  <si>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</si>
  <si>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</si>
  <si>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</si>
  <si>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</si>
  <si>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</si>
  <si>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</si>
  <si>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</si>
  <si>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</si>
  <si>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</si>
  <si>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</si>
  <si>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</si>
  <si>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</si>
  <si>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</si>
  <si>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</si>
  <si>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</si>
  <si>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</si>
  <si>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</si>
  <si>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</si>
  <si>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</si>
  <si>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</si>
  <si>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</si>
  <si>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</si>
  <si>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</si>
  <si>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</si>
  <si>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</si>
  <si>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</si>
  <si>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</si>
  <si>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</si>
  <si>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</si>
  <si>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</si>
  <si>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</si>
  <si>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</si>
  <si>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</si>
  <si>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</si>
  <si>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</si>
  <si>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</si>
  <si>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</si>
  <si>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</si>
  <si>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</si>
  <si>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</si>
  <si>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</si>
  <si>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</si>
  <si>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</si>
  <si>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</si>
  <si>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</si>
  <si>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</si>
  <si>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</si>
  <si>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</si>
  <si>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</si>
  <si>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</si>
  <si>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</si>
  <si>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</si>
  <si>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</si>
  <si>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</si>
  <si>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</si>
  <si>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</si>
  <si>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</si>
  <si>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</si>
  <si>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</si>
  <si>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</si>
  <si>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</si>
  <si>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</si>
  <si>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</si>
  <si>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</si>
  <si>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</si>
  <si>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</si>
  <si>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</si>
  <si>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</si>
  <si>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</si>
  <si>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</si>
  <si>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</si>
  <si>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</si>
  <si>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</si>
  <si>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</si>
  <si>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</si>
  <si>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</si>
  <si>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</si>
  <si>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</si>
  <si>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</si>
  <si>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</si>
  <si>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</si>
  <si>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</si>
  <si>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</si>
  <si>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</si>
  <si>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</si>
  <si>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</si>
  <si>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</si>
  <si>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</si>
  <si>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</si>
  <si>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</si>
  <si>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</si>
  <si>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</si>
  <si>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</si>
  <si>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</si>
  <si>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</si>
  <si>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</si>
  <si>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</si>
  <si>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</si>
  <si>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</si>
  <si>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</si>
  <si>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</si>
  <si>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</si>
  <si>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</si>
  <si>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</si>
  <si>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</si>
  <si>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</si>
  <si>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</si>
  <si>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</si>
  <si>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</si>
  <si>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</si>
  <si>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</si>
  <si>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</si>
  <si>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</si>
  <si>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</si>
  <si>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</si>
  <si>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</si>
  <si>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</si>
  <si>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</si>
  <si>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</si>
  <si>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</si>
  <si>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</si>
  <si>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</si>
  <si>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</si>
  <si>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</si>
  <si>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</si>
  <si>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</si>
  <si>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</si>
  <si>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</si>
  <si>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</si>
  <si>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</si>
  <si>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</si>
  <si>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</si>
  <si>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</si>
  <si>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</si>
  <si>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</si>
  <si>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</si>
  <si>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</si>
  <si>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</si>
  <si>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</si>
  <si>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</si>
  <si>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</si>
  <si>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</si>
  <si>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</si>
  <si>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</si>
  <si>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</si>
  <si>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</si>
  <si>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</si>
  <si>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</si>
  <si>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</si>
  <si>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</si>
  <si>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</si>
  <si>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</si>
  <si>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</si>
  <si>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</si>
  <si>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</si>
  <si>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</si>
  <si>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</si>
  <si>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</si>
  <si>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</si>
  <si>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</si>
  <si>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</si>
  <si>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</si>
  <si>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</si>
  <si>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</si>
  <si>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</si>
  <si>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</si>
  <si>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</si>
  <si>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</si>
  <si>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</si>
  <si>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</si>
  <si>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</si>
  <si>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</si>
  <si>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</si>
  <si>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</si>
  <si>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</si>
  <si>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</si>
  <si>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</si>
  <si>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</si>
  <si>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</si>
  <si>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</si>
  <si>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</si>
  <si>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</si>
  <si>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</si>
  <si>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</si>
  <si>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</si>
  <si>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</si>
  <si>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</si>
  <si>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</si>
  <si>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</si>
  <si>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</si>
  <si>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</si>
  <si>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</si>
  <si>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</si>
  <si>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</si>
  <si>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</si>
  <si>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</si>
  <si>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</si>
  <si>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</si>
  <si>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</si>
  <si>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</si>
  <si>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</si>
  <si>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</si>
  <si>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</si>
  <si>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</si>
  <si>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</si>
  <si>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</si>
  <si>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</si>
  <si>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</si>
  <si>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</si>
  <si>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</si>
  <si>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</si>
  <si>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</si>
  <si>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</si>
  <si>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</si>
  <si>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</si>
  <si>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</si>
  <si>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</si>
  <si>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</si>
  <si>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</si>
  <si>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</si>
  <si>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</si>
  <si>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</si>
  <si>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</si>
  <si>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</si>
  <si>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</si>
  <si>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</si>
  <si>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</si>
  <si>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</si>
  <si>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</si>
  <si>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</si>
  <si>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</si>
  <si>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</si>
  <si>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</si>
  <si>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</si>
  <si>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</si>
  <si>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</si>
  <si>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</si>
  <si>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</si>
  <si>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</si>
  <si>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</si>
  <si>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</si>
  <si>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</si>
  <si>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</si>
  <si>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</si>
  <si>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</si>
  <si>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</si>
  <si>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</si>
  <si>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</si>
  <si>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</si>
  <si>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</si>
  <si>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</si>
  <si>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</si>
  <si>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</si>
  <si>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</si>
  <si>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</si>
  <si>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</si>
  <si>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</si>
  <si>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</si>
  <si>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</si>
  <si>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</si>
  <si>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</si>
  <si>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</si>
  <si>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</si>
  <si>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</si>
  <si>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</si>
  <si>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</si>
  <si>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</si>
  <si>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</si>
  <si>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</si>
  <si>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</si>
  <si>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</si>
  <si>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</si>
  <si>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</si>
  <si>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</si>
  <si>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</si>
  <si>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</si>
  <si>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</si>
  <si>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</si>
  <si>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</si>
  <si>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</si>
  <si>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</si>
  <si>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</si>
  <si>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</si>
  <si>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</si>
  <si>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</si>
  <si>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</si>
  <si>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</si>
  <si>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</si>
  <si>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</si>
  <si>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</si>
  <si>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</si>
  <si>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</si>
  <si>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</si>
  <si>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</si>
  <si>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</si>
  <si>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</si>
  <si>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</si>
  <si>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</si>
  <si>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</si>
  <si>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</si>
  <si>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</si>
  <si>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</si>
  <si>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</si>
  <si>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</si>
  <si>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</si>
  <si>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</si>
  <si>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</si>
  <si>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</si>
  <si>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</si>
  <si>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</si>
  <si>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</si>
  <si>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</si>
  <si>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</si>
  <si>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</si>
  <si>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</si>
  <si>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</si>
  <si>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</si>
  <si>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</si>
  <si>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</si>
  <si>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</si>
  <si>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</si>
  <si>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</si>
  <si>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</si>
  <si>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</si>
  <si>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</si>
  <si>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</si>
  <si>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</si>
  <si>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</si>
  <si>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</si>
  <si>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</si>
  <si>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</si>
  <si>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</si>
  <si>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</si>
  <si>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</si>
  <si>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</si>
  <si>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</si>
  <si>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</si>
  <si>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</si>
  <si>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</si>
  <si>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</si>
  <si>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</si>
  <si>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</si>
  <si>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</si>
  <si>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</si>
  <si>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</si>
  <si>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</si>
  <si>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</si>
  <si>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</si>
  <si>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</si>
  <si>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</si>
  <si>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</si>
  <si>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</si>
  <si>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</si>
  <si>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</si>
  <si>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</si>
  <si>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</si>
  <si>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</si>
  <si>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</si>
  <si>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</si>
  <si>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</si>
  <si>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</si>
  <si>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</si>
  <si>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</si>
  <si>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</si>
  <si>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</si>
  <si>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</si>
  <si>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</si>
  <si>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</si>
  <si>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</si>
  <si>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</si>
  <si>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</si>
  <si>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</si>
  <si>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</si>
  <si>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</si>
  <si>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</si>
  <si>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</si>
  <si>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</si>
  <si>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</si>
  <si>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</si>
  <si>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</si>
  <si>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</si>
  <si>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</si>
  <si>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</si>
  <si>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</si>
  <si>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</si>
  <si>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</si>
  <si>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</si>
  <si>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</si>
  <si>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</si>
  <si>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</si>
  <si>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</si>
  <si>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</si>
  <si>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</si>
  <si>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</si>
  <si>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</si>
  <si>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</si>
  <si>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</si>
  <si>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</si>
  <si>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</si>
  <si>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</si>
  <si>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</si>
  <si>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</si>
  <si>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</si>
  <si>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</si>
  <si>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</si>
  <si>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</si>
  <si>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</si>
  <si>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</si>
  <si>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</si>
  <si>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</si>
  <si>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</si>
  <si>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</si>
  <si>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</si>
  <si>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</si>
  <si>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</si>
  <si>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</si>
  <si>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</si>
  <si>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</si>
  <si>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</si>
  <si>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</si>
  <si>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</si>
  <si>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</si>
  <si>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</si>
  <si>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</si>
  <si>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</si>
  <si>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</si>
  <si>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</si>
  <si>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</si>
  <si>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</si>
  <si>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</si>
  <si>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</si>
  <si>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</si>
  <si>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</si>
  <si>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</si>
  <si>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</si>
  <si>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</si>
  <si>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</si>
  <si>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</si>
  <si>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</si>
  <si>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</si>
  <si>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</si>
  <si>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</si>
  <si>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</si>
  <si>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</si>
  <si>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</si>
  <si>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</si>
  <si>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</si>
  <si>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</si>
  <si>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</si>
  <si>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</si>
  <si>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</si>
  <si>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</si>
  <si>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</si>
  <si>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</si>
  <si>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</si>
  <si>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</si>
  <si>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</si>
  <si>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</si>
  <si>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</si>
  <si>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</si>
  <si>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</si>
  <si>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</si>
  <si>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</si>
  <si>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</si>
  <si>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</si>
  <si>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</si>
  <si>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</si>
  <si>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</si>
  <si>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</si>
  <si>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</si>
  <si>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</si>
  <si>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</si>
  <si>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</si>
  <si>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</si>
  <si>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</si>
  <si>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</si>
  <si>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</si>
  <si>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</si>
  <si>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</si>
  <si>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</si>
  <si>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</si>
  <si>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</si>
  <si>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</si>
  <si>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</si>
  <si>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</si>
  <si>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</si>
  <si>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</si>
  <si>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</si>
  <si>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</si>
  <si>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</si>
  <si>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</si>
  <si>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</si>
  <si>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</si>
  <si>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</si>
  <si>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</si>
  <si>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</si>
  <si>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</si>
  <si>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</si>
  <si>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</si>
  <si>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</si>
  <si>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</si>
  <si>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</si>
  <si>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</si>
  <si>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</si>
  <si>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</si>
  <si>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</si>
  <si>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</si>
  <si>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</si>
  <si>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</si>
  <si>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</si>
  <si>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</si>
  <si>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</si>
  <si>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</si>
  <si>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</si>
  <si>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</si>
  <si>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</si>
  <si>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</si>
  <si>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</si>
  <si>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</si>
  <si>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</si>
  <si>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</si>
  <si>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</si>
  <si>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</si>
  <si>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</si>
  <si>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</si>
  <si>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</si>
  <si>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</si>
  <si>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</si>
  <si>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</si>
  <si>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</si>
  <si>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</si>
  <si>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</si>
  <si>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</si>
  <si>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</si>
  <si>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</si>
  <si>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</si>
  <si>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</si>
  <si>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</si>
  <si>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</si>
  <si>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</si>
  <si>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</si>
  <si>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</si>
  <si>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</si>
  <si>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</si>
  <si>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</si>
  <si>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</si>
  <si>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</si>
  <si>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</si>
  <si>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</si>
  <si>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</si>
  <si>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</si>
  <si>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</si>
  <si>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</si>
  <si>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</si>
  <si>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</si>
  <si>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</si>
  <si>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</si>
  <si>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</si>
  <si>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</si>
  <si>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</si>
  <si>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</si>
  <si>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</si>
  <si>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</si>
  <si>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</si>
  <si>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</si>
  <si>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</si>
  <si>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EUROQUARTZ LIMITED</t>
  </si>
  <si>
    <t>Quartz crystal and Oscillator manufacturer &amp; distributor</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</si>
  <si>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</si>
  <si>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</si>
  <si>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</si>
  <si>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</si>
  <si>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</si>
  <si>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</si>
  <si>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</si>
  <si>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</si>
  <si>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 to</t>
  </si>
  <si>
    <t xml:space="preserve">1-6-3, Murotani, Nishi-ku </t>
  </si>
  <si>
    <t>Kobe</t>
  </si>
  <si>
    <t>(+81)78-333-5633</t>
  </si>
  <si>
    <t>Inquiries on the home page of the company</t>
  </si>
  <si>
    <t>recycled</t>
  </si>
  <si>
    <t>Conformant Gold Refiner</t>
  </si>
  <si>
    <t>Boliden AB</t>
  </si>
  <si>
    <t>Skelleftehamn</t>
  </si>
  <si>
    <t>2-12-30, Aoyanagi</t>
  </si>
  <si>
    <t>(+81)3-3252-3131</t>
  </si>
  <si>
    <t>Kuyumcukent</t>
  </si>
  <si>
    <t>3-3382, Saganoseki</t>
  </si>
  <si>
    <t>Ōita</t>
  </si>
  <si>
    <t>(+81)3-5299-7000</t>
  </si>
  <si>
    <t>Collahuasi, Los Pelambres, Escondida, Collahuasi</t>
  </si>
  <si>
    <t>Chile</t>
  </si>
  <si>
    <t>Magna</t>
  </si>
  <si>
    <t>189-1, Sayamagahara</t>
  </si>
  <si>
    <t>Iruma</t>
  </si>
  <si>
    <t>(+81)3-5381-0720</t>
  </si>
  <si>
    <t>Kwai Chung</t>
  </si>
  <si>
    <t>4049-1, Naoshima-cho</t>
  </si>
  <si>
    <t>(+81)3-5252-5200</t>
  </si>
  <si>
    <t>Copper Mountain, Escondida, Los Pelambres</t>
  </si>
  <si>
    <t>Canada, Chile</t>
  </si>
  <si>
    <t>1-5-1, Shiomachi</t>
  </si>
  <si>
    <t>(+81)3-5437-8000</t>
  </si>
  <si>
    <t>Bahçelievler</t>
  </si>
  <si>
    <t>19-2, Hayama</t>
  </si>
  <si>
    <t>(+81)3-5688-8611</t>
  </si>
  <si>
    <t>Castel San Pietro</t>
  </si>
  <si>
    <t xml:space="preserve">145-1, Funaya-Aza-Shinchi-Otu, </t>
  </si>
  <si>
    <t>Saijo</t>
  </si>
  <si>
    <t>(+81)3-3436-7701</t>
  </si>
  <si>
    <t>Morenci, Cerro Verde, Sierra Gorda, 
Candelaria, Ojos del Salado, Hishikari</t>
  </si>
  <si>
    <t>United States, Peru, Chile, Japan</t>
  </si>
  <si>
    <t>2-14, Nagatoro</t>
  </si>
  <si>
    <t>Hiratsuka</t>
  </si>
  <si>
    <t>(+81)3-6311-5511</t>
  </si>
  <si>
    <t>2, Shobucho Showanuma</t>
  </si>
  <si>
    <t>Kuki</t>
  </si>
  <si>
    <t>(+81)3-3252-0171</t>
  </si>
  <si>
    <t>Anthony Arricale</t>
  </si>
  <si>
    <t>aarricale@unitedpmr.com</t>
  </si>
  <si>
    <t>None Required - RMI  certified conflict free</t>
  </si>
  <si>
    <t>Recycled scrap material</t>
  </si>
  <si>
    <t xml:space="preserve">Recycled </t>
  </si>
  <si>
    <t>www.unitedpmr.com</t>
  </si>
  <si>
    <t>Newburn</t>
  </si>
  <si>
    <t>Shanghang</t>
  </si>
  <si>
    <t>Recycled</t>
  </si>
  <si>
    <t>CID001508</t>
  </si>
  <si>
    <t>QuantumClean</t>
  </si>
  <si>
    <t>Carrollton</t>
  </si>
  <si>
    <t>CID003583</t>
  </si>
  <si>
    <t>RFH Yancheng Jinye New Material Technology Co., Ltd.</t>
  </si>
  <si>
    <t>Yecheng City</t>
  </si>
  <si>
    <t>Mr. Weng Xiang Cai</t>
  </si>
  <si>
    <t>export@zy-tungsten.com</t>
  </si>
  <si>
    <t>Taoxikeng Tungsten Industry Mine</t>
  </si>
  <si>
    <t>China</t>
  </si>
  <si>
    <t>CID000258</t>
    <phoneticPr fontId="0" type="noConversion"/>
  </si>
  <si>
    <t>Mr. Kawaguchi</t>
  </si>
  <si>
    <t>akawaguc@jnm.co.jp</t>
  </si>
  <si>
    <t>Liu Ren Feng</t>
  </si>
  <si>
    <t>Liu.renfeng@cxtc.com</t>
  </si>
  <si>
    <t>Ning Hua Xingluokeng Tungsten Mining Co.,Ltd
Luoyang Yulu Mining Co.,Ltd
Zijin Mining Co.,Ltd
Xinxhou Mining Co.,Ltd
Xianglushan Mine</t>
  </si>
  <si>
    <t>China
China
China
China
China</t>
  </si>
  <si>
    <t>CID002318</t>
  </si>
  <si>
    <t>Jiangxi Tonggu Non-ferrous Metallurgical &amp; Chemical Co., Ltd.</t>
  </si>
  <si>
    <t>Tonggu</t>
  </si>
  <si>
    <t>Zheng Ling</t>
  </si>
  <si>
    <t>zheng. ling@cxtc.com</t>
  </si>
  <si>
    <t>China, Philippine, Spain,Rwanda, Vietnam, DRC, Bolivia</t>
  </si>
  <si>
    <t>CID002827</t>
  </si>
  <si>
    <t>Philippine Chuangxin Industrial Co., Inc.</t>
  </si>
  <si>
    <t>Marilao</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</si>
  <si>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</si>
  <si>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</si>
  <si>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</si>
  <si>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</si>
  <si>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</si>
  <si>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</si>
  <si>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ul. Strefowa 13, 39-442</t>
  </si>
  <si>
    <t xml:space="preserve">Recycled  </t>
  </si>
  <si>
    <t>Poland</t>
  </si>
  <si>
    <t>9 Guizhong Ave</t>
  </si>
  <si>
    <t>CID001105</t>
  </si>
  <si>
    <t>Malaysia Smelting Corporation (MSC)</t>
  </si>
  <si>
    <t>Butterworth</t>
  </si>
  <si>
    <t>2368East Enterprise Parkway</t>
  </si>
  <si>
    <t>Stan Rothschild</t>
  </si>
  <si>
    <t>SROTHSCHILD@metallicresources.com</t>
  </si>
  <si>
    <t>Estrada Romeiros 21500 km 49</t>
  </si>
  <si>
    <t>Mr. Carlos Alberto Kaiser</t>
  </si>
  <si>
    <t>ckaiser@mtaboca.com.br</t>
  </si>
  <si>
    <t>Minercoa Tabboca</t>
  </si>
  <si>
    <t xml:space="preserve">Sao Paulo Brazil </t>
  </si>
  <si>
    <t xml:space="preserve">Panamericana High Way, Km 238.5 , Pisco </t>
  </si>
  <si>
    <t>Mr. José Oré Rivera</t>
  </si>
  <si>
    <t>jose.ore@minsur.com</t>
  </si>
  <si>
    <t>San Rafael, Puno - Peru</t>
  </si>
  <si>
    <t>Puno - Peru</t>
  </si>
  <si>
    <t>Kawasan Industri dan Pelabuhan Air Kantung Jelitik</t>
  </si>
  <si>
    <t>Santosa Prasetija</t>
  </si>
  <si>
    <t> sanpras1205@gmail.com</t>
  </si>
  <si>
    <t>Blok Mapur-Cit, Blok Bemban Utara, Blok Kepuh Utara</t>
  </si>
  <si>
    <t>Kab. Bangka, Indonesia/ Kab. Bangka Tengah, Indonesia</t>
  </si>
  <si>
    <t>Jl. Jenderal Sudirman 51 Pangkal PinangKundur</t>
  </si>
  <si>
    <t>Sales - Operations</t>
  </si>
  <si>
    <t>corsec@pttimah.co.id; timah@pt.timah.co.id</t>
  </si>
  <si>
    <t xml:space="preserve">Kundur, Riau Islands, Indonesia </t>
  </si>
  <si>
    <t xml:space="preserve">Indonesia </t>
  </si>
  <si>
    <t>Jl. Jenderal Sudirman 51 Pangkal Pinang</t>
  </si>
  <si>
    <t>Mentok, Bangka, Beiltung Islands, Indonesia</t>
  </si>
  <si>
    <t xml:space="preserve">Rodovia 421, Km 1,1 nº 917 </t>
  </si>
  <si>
    <t>Mr. Vagner Torrente - President</t>
  </si>
  <si>
    <t>dp@torparticipacoes.com.br</t>
  </si>
  <si>
    <t>Private Mines in the Ariquemes Rondonia region of Brazil</t>
  </si>
  <si>
    <t>Brazil</t>
  </si>
  <si>
    <t>NIEUWE DREEF 33, 2340 BEERSE</t>
  </si>
  <si>
    <t>Ms Inga Hoffkins</t>
  </si>
  <si>
    <t>Inge.Hofkens@metallo.com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</si>
</sst>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1"/>
      <c r="B2" s="4" t="s">
        <v>807</v>
      </c>
      <c r="C2" s="2"/>
      <c r="D2" s="159"/>
      <c r="E2" s="2"/>
      <c r="F2" s="2"/>
      <c r="G2" s="24"/>
    </row>
    <row r="3" spans="1:7">
      <c r="A3" s="361"/>
      <c r="B3" s="2" t="s">
        <v>800</v>
      </c>
      <c r="C3" s="4"/>
      <c r="D3" s="160"/>
      <c r="E3" s="2"/>
      <c r="F3" s="4"/>
      <c r="G3" s="24"/>
    </row>
    <row r="4" spans="1:7" ht="15.75">
      <c r="A4" s="361"/>
      <c r="B4" s="27" t="s">
        <v>809</v>
      </c>
      <c r="C4" s="5"/>
      <c r="D4" s="161"/>
      <c r="E4" s="2"/>
      <c r="F4" s="5"/>
      <c r="G4" s="24"/>
    </row>
    <row r="5" spans="1:7">
      <c r="A5" s="361"/>
      <c r="B5" s="26" t="s">
        <v>998</v>
      </c>
      <c r="C5" s="3"/>
      <c r="D5" s="162"/>
      <c r="E5" s="2"/>
      <c r="F5" s="3"/>
      <c r="G5" s="24"/>
    </row>
    <row r="6" spans="1:7">
      <c r="A6" s="361"/>
      <c r="B6" s="2"/>
      <c r="C6" s="2"/>
      <c r="D6" s="159"/>
      <c r="E6" s="2"/>
      <c r="F6" s="2"/>
      <c r="G6" s="24"/>
    </row>
    <row r="7" spans="1:7">
      <c r="A7" s="361"/>
      <c r="B7" s="2"/>
      <c r="C7" s="2"/>
      <c r="D7" s="159"/>
      <c r="E7" s="2"/>
      <c r="F7" s="2"/>
      <c r="G7" s="24"/>
    </row>
    <row r="8" spans="1:7">
      <c r="A8" s="361"/>
      <c r="B8" s="2"/>
      <c r="C8" s="2"/>
      <c r="D8" s="159"/>
      <c r="E8" s="2"/>
      <c r="F8" s="2"/>
      <c r="G8" s="24"/>
    </row>
    <row r="9" spans="1:7">
      <c r="A9" s="361"/>
      <c r="B9" s="364" t="s">
        <v>810</v>
      </c>
      <c r="C9" s="364"/>
      <c r="D9" s="364"/>
      <c r="E9" s="364"/>
      <c r="F9" s="364"/>
      <c r="G9" s="24"/>
    </row>
    <row r="10" spans="1:7" ht="27" customHeight="1">
      <c r="A10" s="361"/>
      <c r="B10" s="365" t="s">
        <v>423</v>
      </c>
      <c r="C10" s="365"/>
      <c r="D10" s="365"/>
      <c r="E10" s="365"/>
      <c r="F10" s="365"/>
      <c r="G10" s="24"/>
    </row>
    <row r="11" spans="1:7" ht="27" customHeight="1">
      <c r="A11" s="361"/>
      <c r="B11" s="366"/>
      <c r="C11" s="366"/>
      <c r="D11" s="366"/>
      <c r="E11" s="366"/>
      <c r="F11" s="366"/>
      <c r="G11" s="24"/>
    </row>
    <row r="12" spans="1:7">
      <c r="A12" s="361"/>
      <c r="B12" s="28" t="s">
        <v>808</v>
      </c>
      <c r="C12" s="29" t="s">
        <v>811</v>
      </c>
      <c r="D12" s="163" t="s">
        <v>812</v>
      </c>
      <c r="E12" s="29" t="s">
        <v>593</v>
      </c>
      <c r="F12" s="29" t="s">
        <v>594</v>
      </c>
      <c r="G12" s="24"/>
    </row>
    <row r="13" spans="1:7" ht="33.75">
      <c r="A13" s="361"/>
      <c r="B13" s="275">
        <v>1</v>
      </c>
      <c r="C13" s="276" t="s">
        <v>1046</v>
      </c>
      <c r="D13" s="277" t="s">
        <v>836</v>
      </c>
      <c r="E13" s="278" t="s">
        <v>813</v>
      </c>
      <c r="F13" s="278"/>
      <c r="G13" s="24"/>
    </row>
    <row r="14" spans="1:7" ht="56.25">
      <c r="A14" s="361"/>
      <c r="B14" s="275">
        <v>2</v>
      </c>
      <c r="C14" s="276" t="s">
        <v>1046</v>
      </c>
      <c r="D14" s="277" t="s">
        <v>983</v>
      </c>
      <c r="E14" s="278" t="s">
        <v>513</v>
      </c>
      <c r="F14" s="278" t="s">
        <v>514</v>
      </c>
      <c r="G14" s="24"/>
    </row>
    <row r="15" spans="1:7" ht="89.1" customHeight="1">
      <c r="A15" s="361"/>
      <c r="B15" s="367">
        <v>2.0099999999999998</v>
      </c>
      <c r="C15" s="358" t="s">
        <v>1046</v>
      </c>
      <c r="D15" s="370" t="s">
        <v>2150</v>
      </c>
      <c r="E15" s="279" t="s">
        <v>595</v>
      </c>
      <c r="F15" s="279" t="s">
        <v>598</v>
      </c>
      <c r="G15" s="24"/>
    </row>
    <row r="16" spans="1:7" ht="99" customHeight="1">
      <c r="A16" s="361"/>
      <c r="B16" s="368"/>
      <c r="C16" s="359"/>
      <c r="D16" s="371"/>
      <c r="E16" s="280"/>
      <c r="F16" s="280" t="s">
        <v>596</v>
      </c>
      <c r="G16" s="24"/>
    </row>
    <row r="17" spans="1:7" ht="63" customHeight="1">
      <c r="A17" s="361"/>
      <c r="B17" s="369"/>
      <c r="C17" s="360"/>
      <c r="D17" s="372"/>
      <c r="E17" s="276"/>
      <c r="F17" s="276" t="s">
        <v>597</v>
      </c>
      <c r="G17" s="24"/>
    </row>
    <row r="18" spans="1:7" ht="117" customHeight="1">
      <c r="A18" s="361"/>
      <c r="B18" s="367">
        <v>2.02</v>
      </c>
      <c r="C18" s="358" t="s">
        <v>1046</v>
      </c>
      <c r="D18" s="370" t="s">
        <v>2151</v>
      </c>
      <c r="E18" s="279" t="s">
        <v>424</v>
      </c>
      <c r="F18" s="279" t="s">
        <v>508</v>
      </c>
      <c r="G18" s="24"/>
    </row>
    <row r="19" spans="1:7" ht="71.099999999999994" customHeight="1">
      <c r="A19" s="361"/>
      <c r="B19" s="368"/>
      <c r="C19" s="359"/>
      <c r="D19" s="371"/>
      <c r="E19" s="280" t="s">
        <v>512</v>
      </c>
      <c r="F19" s="280" t="s">
        <v>425</v>
      </c>
      <c r="G19" s="24"/>
    </row>
    <row r="20" spans="1:7" ht="90.75" customHeight="1">
      <c r="A20" s="361"/>
      <c r="B20" s="368"/>
      <c r="C20" s="359"/>
      <c r="D20" s="371"/>
      <c r="E20" s="280"/>
      <c r="F20" s="280" t="s">
        <v>600</v>
      </c>
      <c r="G20" s="24"/>
    </row>
    <row r="21" spans="1:7" ht="74.25" customHeight="1">
      <c r="A21" s="361"/>
      <c r="B21" s="369"/>
      <c r="C21" s="360"/>
      <c r="D21" s="372"/>
      <c r="E21" s="276"/>
      <c r="F21" s="276" t="s">
        <v>599</v>
      </c>
      <c r="G21" s="24"/>
    </row>
    <row r="22" spans="1:7" ht="90" customHeight="1">
      <c r="A22" s="361"/>
      <c r="B22" s="376">
        <v>2.0299999999999998</v>
      </c>
      <c r="C22" s="376" t="s">
        <v>783</v>
      </c>
      <c r="D22" s="379" t="s">
        <v>2152</v>
      </c>
      <c r="E22" s="358" t="s">
        <v>422</v>
      </c>
      <c r="F22" s="279" t="s">
        <v>445</v>
      </c>
      <c r="G22" s="24"/>
    </row>
    <row r="23" spans="1:7" ht="109.5" customHeight="1">
      <c r="A23" s="361"/>
      <c r="B23" s="377"/>
      <c r="C23" s="377"/>
      <c r="D23" s="380"/>
      <c r="E23" s="359"/>
      <c r="F23" s="280" t="s">
        <v>784</v>
      </c>
      <c r="G23" s="24"/>
    </row>
    <row r="24" spans="1:7" ht="74.25" customHeight="1">
      <c r="A24" s="361"/>
      <c r="B24" s="378"/>
      <c r="C24" s="378"/>
      <c r="D24" s="381"/>
      <c r="E24" s="360"/>
      <c r="F24" s="276" t="s">
        <v>421</v>
      </c>
      <c r="G24" s="24"/>
    </row>
    <row r="25" spans="1:7" ht="72" customHeight="1">
      <c r="A25" s="361"/>
      <c r="B25" s="275" t="s">
        <v>443</v>
      </c>
      <c r="C25" s="276" t="s">
        <v>444</v>
      </c>
      <c r="D25" s="277" t="s">
        <v>2153</v>
      </c>
      <c r="E25" s="276" t="s">
        <v>2148</v>
      </c>
      <c r="F25" s="276" t="s">
        <v>446</v>
      </c>
      <c r="G25" s="24"/>
    </row>
    <row r="26" spans="1:7" ht="98.1" customHeight="1">
      <c r="A26" s="361"/>
      <c r="B26" s="373">
        <v>3</v>
      </c>
      <c r="C26" s="367" t="s">
        <v>66</v>
      </c>
      <c r="D26" s="370" t="s">
        <v>2154</v>
      </c>
      <c r="E26" s="358" t="s">
        <v>0</v>
      </c>
      <c r="F26" s="279" t="s">
        <v>60</v>
      </c>
      <c r="G26" s="24"/>
    </row>
    <row r="27" spans="1:7" ht="90" customHeight="1">
      <c r="A27" s="361"/>
      <c r="B27" s="374"/>
      <c r="C27" s="368"/>
      <c r="D27" s="371"/>
      <c r="E27" s="359"/>
      <c r="F27" s="280" t="s">
        <v>55</v>
      </c>
      <c r="G27" s="24"/>
    </row>
    <row r="28" spans="1:7" ht="19.350000000000001" customHeight="1">
      <c r="A28" s="361"/>
      <c r="B28" s="374"/>
      <c r="C28" s="368"/>
      <c r="D28" s="371"/>
      <c r="E28" s="359"/>
      <c r="F28" s="280" t="s">
        <v>56</v>
      </c>
      <c r="G28" s="24"/>
    </row>
    <row r="29" spans="1:7" ht="74.45" customHeight="1">
      <c r="A29" s="361"/>
      <c r="B29" s="374"/>
      <c r="C29" s="368"/>
      <c r="D29" s="371"/>
      <c r="E29" s="359"/>
      <c r="F29" s="280" t="s">
        <v>57</v>
      </c>
      <c r="G29" s="24"/>
    </row>
    <row r="30" spans="1:7" ht="62.45" customHeight="1">
      <c r="A30" s="361"/>
      <c r="B30" s="374"/>
      <c r="C30" s="368"/>
      <c r="D30" s="371"/>
      <c r="E30" s="359"/>
      <c r="F30" s="280" t="s">
        <v>58</v>
      </c>
      <c r="G30" s="24"/>
    </row>
    <row r="31" spans="1:7" ht="81" customHeight="1">
      <c r="A31" s="361"/>
      <c r="B31" s="374"/>
      <c r="C31" s="368"/>
      <c r="D31" s="371"/>
      <c r="E31" s="359"/>
      <c r="F31" s="280" t="s">
        <v>59</v>
      </c>
      <c r="G31" s="24"/>
    </row>
    <row r="32" spans="1:7" ht="48.75" customHeight="1">
      <c r="A32" s="361"/>
      <c r="B32" s="374"/>
      <c r="C32" s="368"/>
      <c r="D32" s="371"/>
      <c r="E32" s="359"/>
      <c r="F32" s="280" t="s">
        <v>62</v>
      </c>
      <c r="G32" s="24"/>
    </row>
    <row r="33" spans="1:7" ht="98.45" customHeight="1">
      <c r="A33" s="361"/>
      <c r="B33" s="374"/>
      <c r="C33" s="368"/>
      <c r="D33" s="371"/>
      <c r="E33" s="359"/>
      <c r="F33" s="280" t="s">
        <v>61</v>
      </c>
      <c r="G33" s="24"/>
    </row>
    <row r="34" spans="1:7" ht="89.1" customHeight="1">
      <c r="A34" s="361"/>
      <c r="B34" s="374"/>
      <c r="C34" s="368"/>
      <c r="D34" s="371"/>
      <c r="E34" s="359"/>
      <c r="F34" s="280" t="s">
        <v>63</v>
      </c>
      <c r="G34" s="24"/>
    </row>
    <row r="35" spans="1:7" ht="29.1" customHeight="1">
      <c r="A35" s="361"/>
      <c r="B35" s="374"/>
      <c r="C35" s="368"/>
      <c r="D35" s="371"/>
      <c r="E35" s="359"/>
      <c r="F35" s="280" t="s">
        <v>64</v>
      </c>
      <c r="G35" s="24"/>
    </row>
    <row r="36" spans="1:7" ht="147">
      <c r="A36" s="361"/>
      <c r="B36" s="375"/>
      <c r="C36" s="369"/>
      <c r="D36" s="372"/>
      <c r="E36" s="360"/>
      <c r="F36" s="282" t="s">
        <v>65</v>
      </c>
      <c r="G36" s="24"/>
    </row>
    <row r="37" spans="1:7" ht="157.5">
      <c r="A37" s="361"/>
      <c r="B37" s="281">
        <v>3.01</v>
      </c>
      <c r="C37" s="283" t="s">
        <v>66</v>
      </c>
      <c r="D37" s="277" t="s">
        <v>2155</v>
      </c>
      <c r="E37" s="284" t="s">
        <v>1282</v>
      </c>
      <c r="F37" s="285" t="s">
        <v>1384</v>
      </c>
      <c r="G37" s="24"/>
    </row>
    <row r="38" spans="1:7" ht="146.25">
      <c r="A38" s="361"/>
      <c r="B38" s="281">
        <v>3.02</v>
      </c>
      <c r="C38" s="283" t="s">
        <v>1314</v>
      </c>
      <c r="D38" s="277" t="s">
        <v>2156</v>
      </c>
      <c r="E38" s="284" t="s">
        <v>1329</v>
      </c>
      <c r="F38" s="285" t="s">
        <v>1385</v>
      </c>
      <c r="G38" s="24"/>
    </row>
    <row r="39" spans="1:7" ht="112.5">
      <c r="A39" s="361"/>
      <c r="B39" s="286">
        <v>4</v>
      </c>
      <c r="C39" s="287" t="s">
        <v>1480</v>
      </c>
      <c r="D39" s="277" t="s">
        <v>2157</v>
      </c>
      <c r="E39" s="276" t="s">
        <v>2104</v>
      </c>
      <c r="F39" s="276" t="s">
        <v>1481</v>
      </c>
      <c r="G39" s="24"/>
    </row>
    <row r="40" spans="1:7" ht="67.5">
      <c r="A40" s="361"/>
      <c r="B40" s="281">
        <v>4.01</v>
      </c>
      <c r="C40" s="287" t="s">
        <v>1480</v>
      </c>
      <c r="D40" s="277" t="s">
        <v>2159</v>
      </c>
      <c r="E40" s="276" t="s">
        <v>2116</v>
      </c>
      <c r="F40" s="276" t="s">
        <v>2120</v>
      </c>
      <c r="G40" s="24"/>
    </row>
    <row r="41" spans="1:7" ht="67.5">
      <c r="A41" s="361"/>
      <c r="B41" s="281" t="s">
        <v>2146</v>
      </c>
      <c r="C41" s="287" t="s">
        <v>1480</v>
      </c>
      <c r="D41" s="277" t="s">
        <v>2158</v>
      </c>
      <c r="E41" s="276" t="s">
        <v>2149</v>
      </c>
      <c r="F41" s="276" t="s">
        <v>2147</v>
      </c>
      <c r="G41" s="24"/>
    </row>
    <row r="42" spans="1:7" ht="67.5">
      <c r="A42" s="361"/>
      <c r="B42" s="281" t="s">
        <v>2173</v>
      </c>
      <c r="C42" s="287" t="s">
        <v>1480</v>
      </c>
      <c r="D42" s="277" t="s">
        <v>2178</v>
      </c>
      <c r="E42" s="276" t="s">
        <v>2148</v>
      </c>
      <c r="F42" s="276" t="s">
        <v>2174</v>
      </c>
      <c r="G42" s="24"/>
    </row>
    <row r="43" spans="1:7" ht="191.25">
      <c r="A43" s="361"/>
      <c r="B43" s="288">
        <v>4.0999999999999996</v>
      </c>
      <c r="C43" s="287" t="s">
        <v>2177</v>
      </c>
      <c r="D43" s="289">
        <v>42867</v>
      </c>
      <c r="E43" s="290" t="s">
        <v>2180</v>
      </c>
      <c r="F43" s="276" t="s">
        <v>2179</v>
      </c>
      <c r="G43" s="24"/>
    </row>
    <row r="44" spans="1:7" ht="112.5">
      <c r="A44" s="361"/>
      <c r="B44" s="288">
        <v>4.2</v>
      </c>
      <c r="C44" s="287" t="s">
        <v>2177</v>
      </c>
      <c r="D44" s="289">
        <v>42704</v>
      </c>
      <c r="E44" s="290" t="s">
        <v>2369</v>
      </c>
      <c r="F44" s="276" t="s">
        <v>2344</v>
      </c>
      <c r="G44" s="24"/>
    </row>
    <row r="45" spans="1:7" ht="213.75">
      <c r="A45" s="361"/>
      <c r="B45" s="291">
        <v>5</v>
      </c>
      <c r="C45" s="287" t="s">
        <v>2177</v>
      </c>
      <c r="D45" s="289">
        <v>42867</v>
      </c>
      <c r="E45" s="290" t="s">
        <v>12256</v>
      </c>
      <c r="F45" s="276" t="s">
        <v>11978</v>
      </c>
      <c r="G45" s="24"/>
    </row>
    <row r="46" spans="1:7" ht="56.25">
      <c r="A46" s="361"/>
      <c r="B46" s="288">
        <v>5.01</v>
      </c>
      <c r="C46" s="287" t="s">
        <v>2177</v>
      </c>
      <c r="D46" s="289">
        <v>42907</v>
      </c>
      <c r="E46" s="290" t="s">
        <v>14886</v>
      </c>
      <c r="F46" s="276" t="s">
        <v>11978</v>
      </c>
      <c r="G46" s="24"/>
    </row>
    <row r="47" spans="1:7" ht="101.25">
      <c r="A47" s="361"/>
      <c r="B47" s="288">
        <v>5.0999999999999996</v>
      </c>
      <c r="C47" s="287" t="s">
        <v>2177</v>
      </c>
      <c r="D47" s="289">
        <v>43070</v>
      </c>
      <c r="E47" s="290" t="s">
        <v>12456</v>
      </c>
      <c r="F47" s="276" t="s">
        <v>12457</v>
      </c>
      <c r="G47" s="24"/>
    </row>
    <row r="48" spans="1:7" ht="90">
      <c r="A48" s="361"/>
      <c r="B48" s="288">
        <v>5.1100000000000003</v>
      </c>
      <c r="C48" s="287" t="s">
        <v>12684</v>
      </c>
      <c r="D48" s="289">
        <v>43217</v>
      </c>
      <c r="E48" s="290" t="s">
        <v>12786</v>
      </c>
      <c r="F48" s="276" t="s">
        <v>12711</v>
      </c>
      <c r="G48" s="24"/>
    </row>
    <row r="49" spans="1:7" ht="90">
      <c r="A49" s="361"/>
      <c r="B49" s="288">
        <v>5.12</v>
      </c>
      <c r="C49" s="287" t="s">
        <v>12684</v>
      </c>
      <c r="D49" s="289">
        <v>43581</v>
      </c>
      <c r="E49" s="290" t="s">
        <v>12786</v>
      </c>
      <c r="F49" s="276" t="s">
        <v>13315</v>
      </c>
      <c r="G49" s="24"/>
    </row>
    <row r="50" spans="1:7" ht="112.5">
      <c r="A50" s="361"/>
      <c r="B50" s="291">
        <v>6</v>
      </c>
      <c r="C50" s="287" t="s">
        <v>12684</v>
      </c>
      <c r="D50" s="289">
        <v>43964</v>
      </c>
      <c r="E50" s="290" t="s">
        <v>13527</v>
      </c>
      <c r="F50" s="276" t="s">
        <v>13318</v>
      </c>
      <c r="G50" s="24"/>
    </row>
    <row r="51" spans="1:7" ht="56.25">
      <c r="A51" s="361"/>
      <c r="B51" s="288">
        <v>6.01</v>
      </c>
      <c r="C51" s="287" t="s">
        <v>12684</v>
      </c>
      <c r="D51" s="289">
        <v>43970</v>
      </c>
      <c r="E51" s="290" t="s">
        <v>14887</v>
      </c>
      <c r="F51" s="290" t="s">
        <v>13318</v>
      </c>
      <c r="G51" s="24"/>
    </row>
    <row r="52" spans="1:7" ht="56.25">
      <c r="A52" s="361"/>
      <c r="B52" s="288">
        <v>6.1</v>
      </c>
      <c r="C52" s="287" t="s">
        <v>12684</v>
      </c>
      <c r="D52" s="289">
        <v>44314</v>
      </c>
      <c r="E52" s="290" t="s">
        <v>14880</v>
      </c>
      <c r="F52" s="290" t="s">
        <v>14487</v>
      </c>
      <c r="G52" s="24"/>
    </row>
    <row r="53" spans="1:7" ht="56.25">
      <c r="A53" s="361"/>
      <c r="B53" s="288">
        <v>6.2</v>
      </c>
      <c r="C53" s="287" t="s">
        <v>12684</v>
      </c>
      <c r="D53" s="289">
        <v>44678</v>
      </c>
      <c r="E53" s="290" t="s">
        <v>14880</v>
      </c>
      <c r="F53" s="290" t="s">
        <v>14879</v>
      </c>
      <c r="G53" s="24"/>
    </row>
    <row r="54" spans="1:7" ht="56.25">
      <c r="A54" s="361"/>
      <c r="B54" s="288">
        <v>6.21</v>
      </c>
      <c r="C54" s="287" t="s">
        <v>12684</v>
      </c>
      <c r="D54" s="289">
        <v>44687</v>
      </c>
      <c r="E54" s="290" t="s">
        <v>14888</v>
      </c>
      <c r="F54" s="290" t="s">
        <v>14879</v>
      </c>
      <c r="G54" s="24"/>
    </row>
    <row r="55" spans="1:7" ht="56.25">
      <c r="A55" s="361"/>
      <c r="B55" s="288">
        <v>6.22</v>
      </c>
      <c r="C55" s="287" t="s">
        <v>12684</v>
      </c>
      <c r="D55" s="292">
        <v>44692</v>
      </c>
      <c r="E55" s="290" t="s">
        <v>14887</v>
      </c>
      <c r="F55" s="290" t="s">
        <v>14879</v>
      </c>
      <c r="G55" s="24"/>
    </row>
    <row r="56" spans="1:7" ht="90">
      <c r="A56" s="361"/>
      <c r="B56" s="291">
        <v>6.3</v>
      </c>
      <c r="C56" s="287" t="s">
        <v>12684</v>
      </c>
      <c r="D56" s="292">
        <v>45051</v>
      </c>
      <c r="E56" s="290" t="s">
        <v>15144</v>
      </c>
      <c r="F56" s="290" t="s">
        <v>14925</v>
      </c>
      <c r="G56" s="24"/>
    </row>
    <row r="57" spans="1:7" ht="56.25">
      <c r="A57" s="361"/>
      <c r="B57" s="288">
        <v>6.31</v>
      </c>
      <c r="C57" s="287" t="s">
        <v>12684</v>
      </c>
      <c r="D57" s="292">
        <v>45072</v>
      </c>
      <c r="E57" s="290" t="s">
        <v>15146</v>
      </c>
      <c r="F57" s="290" t="s">
        <v>14925</v>
      </c>
      <c r="G57" s="24"/>
    </row>
    <row r="58" spans="1:7" ht="56.25">
      <c r="A58" s="361"/>
      <c r="B58" s="291">
        <v>6.4</v>
      </c>
      <c r="C58" s="287" t="s">
        <v>12684</v>
      </c>
      <c r="D58" s="292">
        <v>45408</v>
      </c>
      <c r="E58" s="290" t="s">
        <v>15148</v>
      </c>
      <c r="F58" s="290" t="s">
        <v>15147</v>
      </c>
      <c r="G58" s="24"/>
    </row>
    <row r="59" spans="1:7" ht="56.25">
      <c r="A59" s="361"/>
      <c r="B59" s="291">
        <v>6.5</v>
      </c>
      <c r="C59" s="287" t="s">
        <v>12684</v>
      </c>
      <c r="D59" s="292">
        <v>45772</v>
      </c>
      <c r="E59" s="290" t="s">
        <v>15217</v>
      </c>
      <c r="F59" s="290" t="s">
        <v>15259</v>
      </c>
      <c r="G59" s="24"/>
    </row>
    <row r="60" spans="1:7" ht="90">
      <c r="A60" s="361"/>
      <c r="B60" s="291">
        <v>6.6</v>
      </c>
      <c r="C60" s="287" t="s">
        <v>12684</v>
      </c>
      <c r="D60" s="292">
        <v>46129</v>
      </c>
      <c r="E60" s="290" t="s">
        <v>15870</v>
      </c>
      <c r="F60" s="293" t="s">
        <v>15352</v>
      </c>
      <c r="G60" s="24"/>
    </row>
    <row r="61" spans="1:7" ht="13.5" thickBot="1">
      <c r="A61" s="362"/>
      <c r="B61" s="363" t="str">
        <f ca="1">OFFSET(L!$C$1,MATCH("General"&amp;"Cpy",L!$A:$A,0)-1,SL,,)</f>
        <v>© 2026 Responsible Minerals Initiative. All rights reserved.</v>
      </c>
      <c r="C61" s="363"/>
      <c r="D61" s="363"/>
      <c r="E61" s="363"/>
      <c r="F61" s="363"/>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7471A75-1C46-4882-9DD9-2B16170DCFE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F478301-D680-4DDC-B139-45D82D543B9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0" zoomScalePageLayoutView="70" workbookViewId="0">
      <selection activeCell="D41" sqref="D41:E4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3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7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34" t="str">
        <f ca="1">OFFSET(L!$C$1,MATCH("Declaration"&amp;ADDRESS(ROW(),COLUMN(),4)&amp;LEFT($D$9,1),L!$A:$A,0)-1,SL,,)</f>
        <v>Description of Scope:</v>
      </c>
      <c r="C10" s="119"/>
      <c r="D10" s="325" t="s">
        <v>15880</v>
      </c>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75">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15881</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15882</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15883</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15884</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36" t="s">
        <v>15885</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15886</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54" t="s">
        <v>15884</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36" t="s">
        <v>15885</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294" t="s">
        <v>15886</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299">
        <v>46209</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297" t="s">
        <v>473</v>
      </c>
      <c r="E26" s="298"/>
      <c r="F26" s="11"/>
      <c r="G26" s="305"/>
      <c r="H26" s="306"/>
      <c r="I26" s="306"/>
      <c r="J26" s="307"/>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297" t="s">
        <v>473</v>
      </c>
      <c r="E29" s="298"/>
      <c r="F29" s="11"/>
      <c r="G29" s="305"/>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03" t="s">
        <v>473</v>
      </c>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297" t="s">
        <v>473</v>
      </c>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297" t="s">
        <v>474</v>
      </c>
      <c r="E38" s="298"/>
      <c r="F38" s="44"/>
      <c r="G38" s="305"/>
      <c r="H38" s="306"/>
      <c r="I38" s="306"/>
      <c r="J38" s="307"/>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305"/>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305"/>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297" t="s">
        <v>473</v>
      </c>
      <c r="E41" s="298"/>
      <c r="F41" s="44"/>
      <c r="G41" s="305"/>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474</v>
      </c>
      <c r="E44" s="298"/>
      <c r="F44" s="44"/>
      <c r="G44" s="305"/>
      <c r="H44" s="306"/>
      <c r="I44" s="306"/>
      <c r="J44" s="30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305"/>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305"/>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474</v>
      </c>
      <c r="E47" s="298"/>
      <c r="F47" s="44"/>
      <c r="G47" s="305"/>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297" t="s">
        <v>474</v>
      </c>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297" t="s">
        <v>474</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39" t="s">
        <v>2370</v>
      </c>
      <c r="E56" s="340"/>
      <c r="F56" s="44"/>
      <c r="G56" s="305" t="s">
        <v>15888</v>
      </c>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39" t="s">
        <v>2370</v>
      </c>
      <c r="E57" s="340"/>
      <c r="F57" s="44"/>
      <c r="G57" s="305" t="s">
        <v>15888</v>
      </c>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39" t="s">
        <v>2370</v>
      </c>
      <c r="E58" s="340"/>
      <c r="F58" s="44"/>
      <c r="G58" s="305" t="s">
        <v>15888</v>
      </c>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39" t="s">
        <v>2370</v>
      </c>
      <c r="E59" s="340"/>
      <c r="F59" s="44"/>
      <c r="G59" s="305" t="s">
        <v>15888</v>
      </c>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03" t="s">
        <v>473</v>
      </c>
      <c r="E62" s="304"/>
      <c r="F62" s="44"/>
      <c r="G62" s="305" t="s">
        <v>15889</v>
      </c>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305" t="s">
        <v>15889</v>
      </c>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305" t="s">
        <v>15889</v>
      </c>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297" t="s">
        <v>473</v>
      </c>
      <c r="E65" s="298"/>
      <c r="F65" s="44"/>
      <c r="G65" s="305" t="s">
        <v>15889</v>
      </c>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297" t="s">
        <v>473</v>
      </c>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297" t="s">
        <v>473</v>
      </c>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09"/>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7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N142" sqref="N142"/>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1338</v>
      </c>
      <c r="B5" s="166" t="s">
        <v>1087</v>
      </c>
      <c r="C5" s="170" t="s">
        <v>1337</v>
      </c>
      <c r="D5" s="213"/>
      <c r="E5" s="166" t="s">
        <v>2323</v>
      </c>
      <c r="F5" s="166" t="s">
        <v>1338</v>
      </c>
      <c r="G5" s="166" t="s">
        <v>12764</v>
      </c>
      <c r="H5" s="167">
        <v>0</v>
      </c>
      <c r="I5" s="168" t="s">
        <v>1494</v>
      </c>
      <c r="J5" s="168" t="s">
        <v>1495</v>
      </c>
      <c r="K5" s="207"/>
      <c r="L5" s="207"/>
      <c r="M5" s="207"/>
      <c r="N5" s="207"/>
      <c r="O5" s="207"/>
      <c r="P5" s="169"/>
      <c r="Q5" s="208"/>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IF(C5="",NA(),IF(OR(C5="Smelter not listed",C5="Smelter not yet identified"),MATCH($B5&amp;$D5,'Smelter Look-up'!$J:$J,0),MATCH($B5&amp;$C5,'Smelter Look-up'!$J:$J,0)))</f>
        <v>8</v>
      </c>
      <c r="X5" s="210">
        <f t="shared" ref="X5" si="0">IF(AND(C5="Smelter not listed",OR(LEN(D5)=0,LEN(E5)=0)),1,0)</f>
        <v>0</v>
      </c>
      <c r="AB5" s="211" t="str">
        <f t="shared" ref="AB5" si="1">B5&amp;C5</f>
        <v>GoldAdvanced Chemical Company</v>
      </c>
    </row>
    <row r="6" spans="1:34" s="210" customFormat="1" ht="20.100000000000001" customHeight="1">
      <c r="A6" s="245" t="s">
        <v>630</v>
      </c>
      <c r="B6" s="166" t="s">
        <v>1087</v>
      </c>
      <c r="C6" s="170" t="s">
        <v>2050</v>
      </c>
      <c r="D6" s="213" t="s">
        <v>2182</v>
      </c>
      <c r="E6" s="166" t="s">
        <v>1066</v>
      </c>
      <c r="F6" s="166" t="s">
        <v>630</v>
      </c>
      <c r="G6" s="166" t="s">
        <v>12764</v>
      </c>
      <c r="H6" s="167"/>
      <c r="I6" s="168" t="s">
        <v>1496</v>
      </c>
      <c r="J6" s="168" t="s">
        <v>1497</v>
      </c>
      <c r="K6" s="207"/>
      <c r="L6" s="207"/>
      <c r="M6" s="207"/>
      <c r="N6" s="207"/>
      <c r="O6" s="207"/>
      <c r="P6" s="169"/>
      <c r="Q6" s="208"/>
      <c r="R6" s="166" t="str">
        <f ca="1">IF(ISERROR($V6),"",OFFSET('Smelter Look-up'!$C$4,$V6-4,0)&amp;"")</f>
        <v>Aida Chemical Industries Co., Ltd.</v>
      </c>
      <c r="S6" s="165" t="str">
        <f t="shared" ref="S6:S37" ca="1" si="2">IF(B6="","",IF(ISERROR(MATCH($E6,CL,0)),"Unknown",INDIRECT("'C'!$A$"&amp;MATCH($E6,CL,0)+1)))</f>
        <v>JP</v>
      </c>
      <c r="T6" s="165" t="str">
        <f ca="1">IF(B6="","",IF(ISERROR(MATCH($J6,SorP!$B$1:$B$6261,0)),"",INDIRECT("'SorP'!$A$"&amp;MATCH($S6&amp;$J6,SorP!C:C,0))))</f>
        <v>JP-13</v>
      </c>
      <c r="U6" s="185"/>
      <c r="V6" s="209">
        <f>IF(C6="",NA(),IF(OR(C6="Smelter not listed",C6="Smelter not yet identified"),MATCH($B6&amp;$D6,'Smelter Look-up'!$J:$J,0),MATCH($B6&amp;$C6,'Smelter Look-up'!$J:$J,0)))</f>
        <v>15</v>
      </c>
      <c r="X6" s="210">
        <f t="shared" ref="X6:X37" si="3">IF(AND(C6="Smelter not listed",OR(LEN(D6)=0,LEN(E6)=0)),1,0)</f>
        <v>0</v>
      </c>
      <c r="AB6" s="211" t="str">
        <f t="shared" ref="AB6:AB37" si="4">B6&amp;C6</f>
        <v>GoldAida Chemical Industries Co., Ltd.</v>
      </c>
    </row>
    <row r="7" spans="1:34" s="210" customFormat="1" ht="20.100000000000001" customHeight="1">
      <c r="A7" s="245" t="s">
        <v>631</v>
      </c>
      <c r="B7" s="166" t="s">
        <v>1087</v>
      </c>
      <c r="C7" s="170" t="s">
        <v>49</v>
      </c>
      <c r="D7" s="213"/>
      <c r="E7" s="166" t="s">
        <v>1059</v>
      </c>
      <c r="F7" s="166" t="s">
        <v>631</v>
      </c>
      <c r="G7" s="166" t="s">
        <v>12764</v>
      </c>
      <c r="H7" s="167">
        <v>0</v>
      </c>
      <c r="I7" s="168" t="s">
        <v>1498</v>
      </c>
      <c r="J7" s="168" t="s">
        <v>1499</v>
      </c>
      <c r="K7" s="207"/>
      <c r="L7" s="207"/>
      <c r="M7" s="207"/>
      <c r="N7" s="207"/>
      <c r="O7" s="207"/>
      <c r="P7" s="169"/>
      <c r="Q7" s="208"/>
      <c r="R7" s="166" t="str">
        <f ca="1">IF(ISERROR($V7),"",OFFSET('Smelter Look-up'!$C$4,$V7-4,0)&amp;"")</f>
        <v>Agosi AG</v>
      </c>
      <c r="S7" s="165" t="str">
        <f t="shared" ca="1" si="2"/>
        <v>DE</v>
      </c>
      <c r="T7" s="165" t="str">
        <f ca="1">IF(B7="","",IF(ISERROR(MATCH($J7,SorP!$B$1:$B$6261,0)),"",INDIRECT("'SorP'!$A$"&amp;MATCH($S7&amp;$J7,SorP!C:C,0))))</f>
        <v>DE-BW</v>
      </c>
      <c r="U7" s="185"/>
      <c r="V7" s="209">
        <f>IF(C7="",NA(),IF(OR(C7="Smelter not listed",C7="Smelter not yet identified"),MATCH($B7&amp;$D7,'Smelter Look-up'!$J:$J,0),MATCH($B7&amp;$C7,'Smelter Look-up'!$J:$J,0)))</f>
        <v>21</v>
      </c>
      <c r="X7" s="210">
        <f t="shared" si="3"/>
        <v>0</v>
      </c>
      <c r="AB7" s="211" t="str">
        <f t="shared" si="4"/>
        <v>GoldAllgemeine Gold-und Silberscheideanstalt A.G.</v>
      </c>
    </row>
    <row r="8" spans="1:34" s="210" customFormat="1" ht="20.100000000000001" customHeight="1">
      <c r="A8" s="245" t="s">
        <v>632</v>
      </c>
      <c r="B8" s="166" t="s">
        <v>1087</v>
      </c>
      <c r="C8" s="170" t="s">
        <v>605</v>
      </c>
      <c r="D8" s="213"/>
      <c r="E8" s="166" t="s">
        <v>851</v>
      </c>
      <c r="F8" s="166" t="s">
        <v>632</v>
      </c>
      <c r="G8" s="166" t="s">
        <v>12764</v>
      </c>
      <c r="H8" s="167">
        <v>0</v>
      </c>
      <c r="I8" s="168" t="s">
        <v>1500</v>
      </c>
      <c r="J8" s="168" t="s">
        <v>11573</v>
      </c>
      <c r="K8" s="207"/>
      <c r="L8" s="207"/>
      <c r="M8" s="207"/>
      <c r="N8" s="207"/>
      <c r="O8" s="207"/>
      <c r="P8" s="169"/>
      <c r="Q8" s="208"/>
      <c r="R8" s="166" t="str">
        <f ca="1">IF(ISERROR($V8),"",OFFSET('Smelter Look-up'!$C$4,$V8-4,0)&amp;"")</f>
        <v>Almalyk Mining and Metallurgical Complex (AMMC)</v>
      </c>
      <c r="S8" s="165" t="str">
        <f t="shared" ca="1" si="2"/>
        <v>UZ</v>
      </c>
      <c r="T8" s="165" t="str">
        <f ca="1">IF(B8="","",IF(ISERROR(MATCH($J8,SorP!$B$1:$B$6261,0)),"",INDIRECT("'SorP'!$A$"&amp;MATCH($S8&amp;$J8,SorP!C:C,0))))</f>
        <v>UZ-TO</v>
      </c>
      <c r="U8" s="185"/>
      <c r="V8" s="209">
        <f>IF(C8="",NA(),IF(OR(C8="Smelter not listed",C8="Smelter not yet identified"),MATCH($B8&amp;$D8,'Smelter Look-up'!$J:$J,0),MATCH($B8&amp;$C8,'Smelter Look-up'!$J:$J,0)))</f>
        <v>22</v>
      </c>
      <c r="X8" s="210">
        <f t="shared" si="3"/>
        <v>0</v>
      </c>
      <c r="AB8" s="211" t="str">
        <f t="shared" si="4"/>
        <v>GoldAlmalyk Mining and Metallurgical Complex (AMMC)</v>
      </c>
    </row>
    <row r="9" spans="1:34" s="210" customFormat="1" ht="20.100000000000001" customHeight="1">
      <c r="A9" s="245" t="s">
        <v>633</v>
      </c>
      <c r="B9" s="166" t="s">
        <v>1087</v>
      </c>
      <c r="C9" s="170" t="s">
        <v>11979</v>
      </c>
      <c r="D9" s="213"/>
      <c r="E9" s="166" t="s">
        <v>1054</v>
      </c>
      <c r="F9" s="166" t="s">
        <v>633</v>
      </c>
      <c r="G9" s="166" t="s">
        <v>12764</v>
      </c>
      <c r="H9" s="167">
        <v>0</v>
      </c>
      <c r="I9" s="168" t="s">
        <v>1502</v>
      </c>
      <c r="J9" s="168" t="s">
        <v>1503</v>
      </c>
      <c r="K9" s="207"/>
      <c r="L9" s="207"/>
      <c r="M9" s="207"/>
      <c r="N9" s="207"/>
      <c r="O9" s="207"/>
      <c r="P9" s="169"/>
      <c r="Q9" s="208"/>
      <c r="R9" s="166" t="str">
        <f ca="1">IF(ISERROR($V9),"",OFFSET('Smelter Look-up'!$C$4,$V9-4,0)&amp;"")</f>
        <v>AngloGold Ashanti Corrego do Sitio Mineracao</v>
      </c>
      <c r="S9" s="165" t="str">
        <f t="shared" ca="1" si="2"/>
        <v>BR</v>
      </c>
      <c r="T9" s="165" t="str">
        <f ca="1">IF(B9="","",IF(ISERROR(MATCH($J9,SorP!$B$1:$B$6261,0)),"",INDIRECT("'SorP'!$A$"&amp;MATCH($S9&amp;$J9,SorP!C:C,0))))</f>
        <v>BR-MG</v>
      </c>
      <c r="U9" s="185"/>
      <c r="V9" s="209">
        <f>IF(C9="",NA(),IF(OR(C9="Smelter not listed",C9="Smelter not yet identified"),MATCH($B9&amp;$D9,'Smelter Look-up'!$J:$J,0),MATCH($B9&amp;$C9,'Smelter Look-up'!$J:$J,0)))</f>
        <v>25</v>
      </c>
      <c r="X9" s="210">
        <f t="shared" si="3"/>
        <v>0</v>
      </c>
      <c r="AB9" s="211" t="str">
        <f t="shared" si="4"/>
        <v>GoldAngloGold Ashanti Corrego do Sitio Mineracao</v>
      </c>
    </row>
    <row r="10" spans="1:34" s="210" customFormat="1" ht="20.100000000000001" customHeight="1">
      <c r="A10" s="245" t="s">
        <v>634</v>
      </c>
      <c r="B10" s="166" t="s">
        <v>1087</v>
      </c>
      <c r="C10" s="170" t="s">
        <v>2181</v>
      </c>
      <c r="D10" s="213"/>
      <c r="E10" s="166" t="s">
        <v>1056</v>
      </c>
      <c r="F10" s="166" t="s">
        <v>634</v>
      </c>
      <c r="G10" s="166" t="s">
        <v>12764</v>
      </c>
      <c r="H10" s="167">
        <v>0</v>
      </c>
      <c r="I10" s="168" t="s">
        <v>1504</v>
      </c>
      <c r="J10" s="168" t="s">
        <v>1505</v>
      </c>
      <c r="K10" s="207"/>
      <c r="L10" s="207"/>
      <c r="M10" s="207"/>
      <c r="N10" s="207"/>
      <c r="O10" s="207"/>
      <c r="P10" s="169"/>
      <c r="Q10" s="208"/>
      <c r="R10" s="166" t="str">
        <f ca="1">IF(ISERROR($V10),"",OFFSET('Smelter Look-up'!$C$4,$V10-4,0)&amp;"")</f>
        <v>Argor-Heraeus S.A.</v>
      </c>
      <c r="S10" s="165" t="str">
        <f t="shared" ca="1" si="2"/>
        <v>CH</v>
      </c>
      <c r="T10" s="165" t="str">
        <f ca="1">IF(B10="","",IF(ISERROR(MATCH($J10,SorP!$B$1:$B$6261,0)),"",INDIRECT("'SorP'!$A$"&amp;MATCH($S10&amp;$J10,SorP!C:C,0))))</f>
        <v>CH-TI</v>
      </c>
      <c r="U10" s="185"/>
      <c r="V10" s="209">
        <f>IF(C10="",NA(),IF(OR(C10="Smelter not listed",C10="Smelter not yet identified"),MATCH($B10&amp;$D10,'Smelter Look-up'!$J:$J,0),MATCH($B10&amp;$C10,'Smelter Look-up'!$J:$J,0)))</f>
        <v>31</v>
      </c>
      <c r="X10" s="210">
        <f t="shared" si="3"/>
        <v>0</v>
      </c>
      <c r="AB10" s="211" t="str">
        <f t="shared" si="4"/>
        <v>GoldArgor-Heraeus S.A.</v>
      </c>
    </row>
    <row r="11" spans="1:34" s="210" customFormat="1" ht="20.100000000000001" customHeight="1">
      <c r="A11" s="245" t="s">
        <v>635</v>
      </c>
      <c r="B11" s="166" t="s">
        <v>1087</v>
      </c>
      <c r="C11" s="170" t="s">
        <v>2182</v>
      </c>
      <c r="D11" s="213"/>
      <c r="E11" s="166" t="s">
        <v>1066</v>
      </c>
      <c r="F11" s="166" t="s">
        <v>635</v>
      </c>
      <c r="G11" s="166" t="s">
        <v>12764</v>
      </c>
      <c r="H11" s="167" t="s">
        <v>15890</v>
      </c>
      <c r="I11" s="168" t="s">
        <v>15891</v>
      </c>
      <c r="J11" s="168" t="s">
        <v>1506</v>
      </c>
      <c r="K11" s="207" t="s">
        <v>15892</v>
      </c>
      <c r="L11" s="207" t="s">
        <v>15893</v>
      </c>
      <c r="M11" s="207"/>
      <c r="N11" s="207" t="s">
        <v>15894</v>
      </c>
      <c r="O11" s="207" t="s">
        <v>15894</v>
      </c>
      <c r="P11" s="169" t="s">
        <v>473</v>
      </c>
      <c r="Q11" s="208" t="s">
        <v>15895</v>
      </c>
      <c r="R11" s="166" t="str">
        <f ca="1">IF(ISERROR($V11),"",OFFSET('Smelter Look-up'!$C$4,$V11-4,0)&amp;"")</f>
        <v>ASAHI METALFINE, Inc.</v>
      </c>
      <c r="S11" s="165" t="str">
        <f t="shared" ca="1" si="2"/>
        <v>JP</v>
      </c>
      <c r="T11" s="165" t="str">
        <f ca="1">IF(B11="","",IF(ISERROR(MATCH($J11,SorP!$B$1:$B$6261,0)),"",INDIRECT("'SorP'!$A$"&amp;MATCH($S11&amp;$J11,SorP!C:C,0))))</f>
        <v>JP-28</v>
      </c>
      <c r="U11" s="185"/>
      <c r="V11" s="209">
        <f>IF(C11="",NA(),IF(OR(C11="Smelter not listed",C11="Smelter not yet identified"),MATCH($B11&amp;$D11,'Smelter Look-up'!$J:$J,0),MATCH($B11&amp;$C11,'Smelter Look-up'!$J:$J,0)))</f>
        <v>33</v>
      </c>
      <c r="X11" s="210">
        <f t="shared" si="3"/>
        <v>0</v>
      </c>
      <c r="AB11" s="211" t="str">
        <f t="shared" si="4"/>
        <v>GoldAsahi Pretec Corp.</v>
      </c>
    </row>
    <row r="12" spans="1:34" s="210" customFormat="1" ht="20.100000000000001" customHeight="1">
      <c r="A12" s="245" t="s">
        <v>636</v>
      </c>
      <c r="B12" s="166" t="s">
        <v>1087</v>
      </c>
      <c r="C12" s="170" t="s">
        <v>2051</v>
      </c>
      <c r="D12" s="213"/>
      <c r="E12" s="166" t="s">
        <v>1066</v>
      </c>
      <c r="F12" s="166" t="s">
        <v>636</v>
      </c>
      <c r="G12" s="166" t="s">
        <v>12764</v>
      </c>
      <c r="H12" s="167">
        <v>0</v>
      </c>
      <c r="I12" s="168" t="s">
        <v>1508</v>
      </c>
      <c r="J12" s="168" t="s">
        <v>1509</v>
      </c>
      <c r="K12" s="207"/>
      <c r="L12" s="207"/>
      <c r="M12" s="207"/>
      <c r="N12" s="207"/>
      <c r="O12" s="207"/>
      <c r="P12" s="169"/>
      <c r="Q12" s="208"/>
      <c r="R12" s="166" t="str">
        <f ca="1">IF(ISERROR($V12),"",OFFSET('Smelter Look-up'!$C$4,$V12-4,0)&amp;"")</f>
        <v>Asaka Riken Co., Ltd.</v>
      </c>
      <c r="S12" s="165" t="str">
        <f t="shared" ca="1" si="2"/>
        <v>JP</v>
      </c>
      <c r="T12" s="165" t="str">
        <f ca="1">IF(B12="","",IF(ISERROR(MATCH($J12,SorP!$B$1:$B$6261,0)),"",INDIRECT("'SorP'!$A$"&amp;MATCH($S12&amp;$J12,SorP!C:C,0))))</f>
        <v>JP-07</v>
      </c>
      <c r="U12" s="185"/>
      <c r="V12" s="209">
        <f>IF(C12="",NA(),IF(OR(C12="Smelter not listed",C12="Smelter not yet identified"),MATCH($B12&amp;$D12,'Smelter Look-up'!$J:$J,0),MATCH($B12&amp;$C12,'Smelter Look-up'!$J:$J,0)))</f>
        <v>36</v>
      </c>
      <c r="X12" s="210">
        <f t="shared" si="3"/>
        <v>0</v>
      </c>
      <c r="AB12" s="211" t="str">
        <f t="shared" si="4"/>
        <v>GoldAsaka Riken Co., Ltd.</v>
      </c>
    </row>
    <row r="13" spans="1:34" s="210" customFormat="1" ht="20.100000000000001" customHeight="1">
      <c r="A13" s="245" t="s">
        <v>637</v>
      </c>
      <c r="B13" s="166" t="s">
        <v>1087</v>
      </c>
      <c r="C13" s="170" t="s">
        <v>1179</v>
      </c>
      <c r="D13" s="213"/>
      <c r="E13" s="166" t="s">
        <v>1059</v>
      </c>
      <c r="F13" s="166" t="s">
        <v>637</v>
      </c>
      <c r="G13" s="166" t="s">
        <v>12764</v>
      </c>
      <c r="H13" s="167">
        <v>0</v>
      </c>
      <c r="I13" s="168" t="s">
        <v>1510</v>
      </c>
      <c r="J13" s="168" t="s">
        <v>1510</v>
      </c>
      <c r="K13" s="207"/>
      <c r="L13" s="207"/>
      <c r="M13" s="207"/>
      <c r="N13" s="207"/>
      <c r="O13" s="207"/>
      <c r="P13" s="169"/>
      <c r="Q13" s="208"/>
      <c r="R13" s="166" t="str">
        <f ca="1">IF(ISERROR($V13),"",OFFSET('Smelter Look-up'!$C$4,$V13-4,0)&amp;"")</f>
        <v>Aurubis AG, Hamburg</v>
      </c>
      <c r="S13" s="165" t="str">
        <f t="shared" ca="1" si="2"/>
        <v>DE</v>
      </c>
      <c r="T13" s="165" t="str">
        <f ca="1">IF(B13="","",IF(ISERROR(MATCH($J13,SorP!$B$1:$B$6261,0)),"",INDIRECT("'SorP'!$A$"&amp;MATCH($S13&amp;$J13,SorP!C:C,0))))</f>
        <v>DE-HH</v>
      </c>
      <c r="U13" s="185"/>
      <c r="V13" s="209">
        <f>IF(C13="",NA(),IF(OR(C13="Smelter not listed",C13="Smelter not yet identified"),MATCH($B13&amp;$D13,'Smelter Look-up'!$J:$J,0),MATCH($B13&amp;$C13,'Smelter Look-up'!$J:$J,0)))</f>
        <v>43</v>
      </c>
      <c r="X13" s="210">
        <f t="shared" si="3"/>
        <v>0</v>
      </c>
      <c r="AB13" s="211" t="str">
        <f t="shared" si="4"/>
        <v>GoldAurubis AG</v>
      </c>
    </row>
    <row r="14" spans="1:34" s="210" customFormat="1" ht="20.100000000000001" customHeight="1">
      <c r="A14" s="245" t="s">
        <v>638</v>
      </c>
      <c r="B14" s="166" t="s">
        <v>1087</v>
      </c>
      <c r="C14" s="170" t="s">
        <v>864</v>
      </c>
      <c r="D14" s="213"/>
      <c r="E14" s="166" t="s">
        <v>841</v>
      </c>
      <c r="F14" s="166" t="s">
        <v>638</v>
      </c>
      <c r="G14" s="166" t="s">
        <v>12764</v>
      </c>
      <c r="H14" s="167">
        <v>0</v>
      </c>
      <c r="I14" s="168" t="s">
        <v>2107</v>
      </c>
      <c r="J14" s="168" t="s">
        <v>9026</v>
      </c>
      <c r="K14" s="207"/>
      <c r="L14" s="207"/>
      <c r="M14" s="207"/>
      <c r="N14" s="207"/>
      <c r="O14" s="207"/>
      <c r="P14" s="169"/>
      <c r="Q14" s="208"/>
      <c r="R14" s="166" t="str">
        <f ca="1">IF(ISERROR($V14),"",OFFSET('Smelter Look-up'!$C$4,$V14-4,0)&amp;"")</f>
        <v>Bangko Sentral ng Pilipinas (Central Bank of the Philippines)</v>
      </c>
      <c r="S14" s="165" t="str">
        <f t="shared" ca="1" si="2"/>
        <v>PH</v>
      </c>
      <c r="T14" s="165" t="str">
        <f ca="1">IF(B14="","",IF(ISERROR(MATCH($J14,SorP!$B$1:$B$6261,0)),"",INDIRECT("'SorP'!$A$"&amp;MATCH($S14&amp;$J14,SorP!C:C,0))))</f>
        <v>PH-RIZ</v>
      </c>
      <c r="U14" s="185"/>
      <c r="V14" s="209">
        <f>IF(C14="",NA(),IF(OR(C14="Smelter not listed",C14="Smelter not yet identified"),MATCH($B14&amp;$D14,'Smelter Look-up'!$J:$J,0),MATCH($B14&amp;$C14,'Smelter Look-up'!$J:$J,0)))</f>
        <v>49</v>
      </c>
      <c r="X14" s="210">
        <f t="shared" si="3"/>
        <v>0</v>
      </c>
      <c r="AB14" s="211" t="str">
        <f t="shared" si="4"/>
        <v>GoldBangko Sentral ng Pilipinas (Central Bank of the Philippines)</v>
      </c>
    </row>
    <row r="15" spans="1:34" s="210" customFormat="1" ht="20.100000000000001" customHeight="1">
      <c r="A15" s="245" t="s">
        <v>639</v>
      </c>
      <c r="B15" s="166" t="s">
        <v>1087</v>
      </c>
      <c r="C15" s="170" t="s">
        <v>15896</v>
      </c>
      <c r="D15" s="213"/>
      <c r="E15" s="166" t="s">
        <v>847</v>
      </c>
      <c r="F15" s="166" t="s">
        <v>639</v>
      </c>
      <c r="G15" s="166" t="s">
        <v>12764</v>
      </c>
      <c r="H15" s="167">
        <v>0</v>
      </c>
      <c r="I15" s="168" t="s">
        <v>15897</v>
      </c>
      <c r="J15" s="168" t="s">
        <v>9850</v>
      </c>
      <c r="K15" s="207"/>
      <c r="L15" s="207"/>
      <c r="M15" s="207"/>
      <c r="N15" s="207"/>
      <c r="O15" s="207"/>
      <c r="P15" s="169"/>
      <c r="Q15" s="208"/>
      <c r="R15" s="166" t="str">
        <f ca="1">IF(ISERROR($V15),"",OFFSET('Smelter Look-up'!$C$4,$V15-4,0)&amp;"")</f>
        <v/>
      </c>
      <c r="S15" s="165" t="str">
        <f t="shared" ca="1" si="2"/>
        <v>SE</v>
      </c>
      <c r="T15" s="165" t="str">
        <f ca="1">IF(B15="","",IF(ISERROR(MATCH($J15,SorP!$B$1:$B$6261,0)),"",INDIRECT("'SorP'!$A$"&amp;MATCH($S15&amp;$J15,SorP!C:C,0))))</f>
        <v>SE-AC</v>
      </c>
      <c r="U15" s="185"/>
      <c r="V15" s="209" t="e">
        <f>IF(C15="",NA(),IF(OR(C15="Smelter not listed",C15="Smelter not yet identified"),MATCH($B15&amp;$D15,'Smelter Look-up'!$J:$J,0),MATCH($B15&amp;$C15,'Smelter Look-up'!$J:$J,0)))</f>
        <v>#N/A</v>
      </c>
      <c r="X15" s="210">
        <f t="shared" si="3"/>
        <v>0</v>
      </c>
      <c r="AB15" s="211" t="str">
        <f t="shared" si="4"/>
        <v>GoldBoliden AB</v>
      </c>
    </row>
    <row r="16" spans="1:34" s="210" customFormat="1" ht="20.100000000000001" customHeight="1">
      <c r="A16" s="245" t="s">
        <v>641</v>
      </c>
      <c r="B16" s="166" t="s">
        <v>1087</v>
      </c>
      <c r="C16" s="170" t="s">
        <v>640</v>
      </c>
      <c r="D16" s="213"/>
      <c r="E16" s="166" t="s">
        <v>1059</v>
      </c>
      <c r="F16" s="166" t="s">
        <v>641</v>
      </c>
      <c r="G16" s="166" t="s">
        <v>12764</v>
      </c>
      <c r="H16" s="167">
        <v>0</v>
      </c>
      <c r="I16" s="168" t="s">
        <v>1498</v>
      </c>
      <c r="J16" s="168" t="s">
        <v>1499</v>
      </c>
      <c r="K16" s="207"/>
      <c r="L16" s="207"/>
      <c r="M16" s="207"/>
      <c r="N16" s="207"/>
      <c r="O16" s="207"/>
      <c r="P16" s="169"/>
      <c r="Q16" s="208"/>
      <c r="R16" s="166" t="str">
        <f ca="1">IF(ISERROR($V16),"",OFFSET('Smelter Look-up'!$C$4,$V16-4,0)&amp;"")</f>
        <v>C. Hafner GmbH + Co. KG</v>
      </c>
      <c r="S16" s="165" t="str">
        <f t="shared" ca="1" si="2"/>
        <v>DE</v>
      </c>
      <c r="T16" s="165" t="str">
        <f ca="1">IF(B16="","",IF(ISERROR(MATCH($J16,SorP!$B$1:$B$6261,0)),"",INDIRECT("'SorP'!$A$"&amp;MATCH($S16&amp;$J16,SorP!C:C,0))))</f>
        <v>DE-BW</v>
      </c>
      <c r="U16" s="185"/>
      <c r="V16" s="209">
        <f>IF(C16="",NA(),IF(OR(C16="Smelter not listed",C16="Smelter not yet identified"),MATCH($B16&amp;$D16,'Smelter Look-up'!$J:$J,0),MATCH($B16&amp;$C16,'Smelter Look-up'!$J:$J,0)))</f>
        <v>54</v>
      </c>
      <c r="X16" s="210">
        <f t="shared" si="3"/>
        <v>0</v>
      </c>
      <c r="AB16" s="211" t="str">
        <f t="shared" si="4"/>
        <v>GoldC. Hafner GmbH + Co. KG</v>
      </c>
    </row>
    <row r="17" spans="1:28" s="210" customFormat="1" ht="20.100000000000001" customHeight="1">
      <c r="A17" s="245" t="s">
        <v>643</v>
      </c>
      <c r="B17" s="166" t="s">
        <v>1087</v>
      </c>
      <c r="C17" s="170" t="s">
        <v>2144</v>
      </c>
      <c r="D17" s="213"/>
      <c r="E17" s="166" t="s">
        <v>1055</v>
      </c>
      <c r="F17" s="166" t="s">
        <v>643</v>
      </c>
      <c r="G17" s="166" t="s">
        <v>12764</v>
      </c>
      <c r="H17" s="167"/>
      <c r="I17" s="168" t="s">
        <v>1514</v>
      </c>
      <c r="J17" s="168" t="s">
        <v>1515</v>
      </c>
      <c r="K17" s="207"/>
      <c r="L17" s="207"/>
      <c r="M17" s="207"/>
      <c r="N17" s="207"/>
      <c r="O17" s="207"/>
      <c r="P17" s="169"/>
      <c r="Q17" s="208"/>
      <c r="R17" s="166" t="str">
        <f ca="1">IF(ISERROR($V17),"",OFFSET('Smelter Look-up'!$C$4,$V17-4,0)&amp;"")</f>
        <v>Glencore Canada Corporation - CCR Refinery</v>
      </c>
      <c r="S17" s="165" t="str">
        <f t="shared" ca="1" si="2"/>
        <v>CA</v>
      </c>
      <c r="T17" s="165" t="str">
        <f ca="1">IF(B17="","",IF(ISERROR(MATCH($J17,SorP!$B$1:$B$6261,0)),"",INDIRECT("'SorP'!$A$"&amp;MATCH($S17&amp;$J17,SorP!C:C,0))))</f>
        <v>CA-QC</v>
      </c>
      <c r="U17" s="185"/>
      <c r="V17" s="209">
        <f>IF(C17="",NA(),IF(OR(C17="Smelter not listed",C17="Smelter not yet identified"),MATCH($B17&amp;$D17,'Smelter Look-up'!$J:$J,0),MATCH($B17&amp;$C17,'Smelter Look-up'!$J:$J,0)))</f>
        <v>57</v>
      </c>
      <c r="X17" s="210">
        <f t="shared" si="3"/>
        <v>0</v>
      </c>
      <c r="AB17" s="211" t="str">
        <f t="shared" si="4"/>
        <v>GoldCCR Refinery - Glencore Canada Corporation</v>
      </c>
    </row>
    <row r="18" spans="1:28" s="210" customFormat="1" ht="20.100000000000001" customHeight="1">
      <c r="A18" s="165" t="s">
        <v>645</v>
      </c>
      <c r="B18" s="166" t="s">
        <v>1087</v>
      </c>
      <c r="C18" s="170" t="s">
        <v>50</v>
      </c>
      <c r="D18" s="213"/>
      <c r="E18" s="166" t="s">
        <v>1065</v>
      </c>
      <c r="F18" s="166" t="s">
        <v>645</v>
      </c>
      <c r="G18" s="166" t="s">
        <v>12764</v>
      </c>
      <c r="H18" s="167">
        <v>0</v>
      </c>
      <c r="I18" s="168" t="s">
        <v>1522</v>
      </c>
      <c r="J18" s="168" t="s">
        <v>6296</v>
      </c>
      <c r="K18" s="207"/>
      <c r="L18" s="207"/>
      <c r="M18" s="207"/>
      <c r="N18" s="207"/>
      <c r="O18" s="207"/>
      <c r="P18" s="169"/>
      <c r="Q18" s="208"/>
      <c r="R18" s="166" t="str">
        <f ca="1">IF(ISERROR($V18),"",OFFSET('Smelter Look-up'!$C$4,$V18-4,0)&amp;"")</f>
        <v>Chimet S.p.A.</v>
      </c>
      <c r="S18" s="165" t="str">
        <f t="shared" ca="1" si="2"/>
        <v>IT</v>
      </c>
      <c r="T18" s="165" t="str">
        <f ca="1">IF(B18="","",IF(ISERROR(MATCH($J18,SorP!$B$1:$B$6261,0)),"",INDIRECT("'SorP'!$A$"&amp;MATCH($S18&amp;$J18,SorP!C:C,0))))</f>
        <v>IT-52</v>
      </c>
      <c r="U18" s="185"/>
      <c r="V18" s="209">
        <f>IF(C18="",NA(),IF(OR(C18="Smelter not listed",C18="Smelter not yet identified"),MATCH($B18&amp;$D18,'Smelter Look-up'!$J:$J,0),MATCH($B18&amp;$C18,'Smelter Look-up'!$J:$J,0)))</f>
        <v>67</v>
      </c>
      <c r="X18" s="210">
        <f t="shared" si="3"/>
        <v>0</v>
      </c>
      <c r="AB18" s="211" t="str">
        <f t="shared" si="4"/>
        <v>GoldChimet S.p.A.</v>
      </c>
    </row>
    <row r="19" spans="1:28" s="210" customFormat="1" ht="38.25">
      <c r="A19" s="165" t="s">
        <v>646</v>
      </c>
      <c r="B19" s="166" t="s">
        <v>1087</v>
      </c>
      <c r="C19" s="170" t="s">
        <v>522</v>
      </c>
      <c r="D19" s="213"/>
      <c r="E19" s="166" t="s">
        <v>1066</v>
      </c>
      <c r="F19" s="166" t="s">
        <v>646</v>
      </c>
      <c r="G19" s="166" t="s">
        <v>12764</v>
      </c>
      <c r="H19" s="167">
        <v>0</v>
      </c>
      <c r="I19" s="168" t="s">
        <v>1523</v>
      </c>
      <c r="J19" s="168" t="s">
        <v>1497</v>
      </c>
      <c r="K19" s="207"/>
      <c r="L19" s="207"/>
      <c r="M19" s="207"/>
      <c r="N19" s="207"/>
      <c r="O19" s="207"/>
      <c r="P19" s="169"/>
      <c r="Q19" s="208"/>
      <c r="R19" s="166" t="str">
        <f ca="1">IF(ISERROR($V19),"",OFFSET('Smelter Look-up'!$C$4,$V19-4,0)&amp;"")</f>
        <v>Chugai Mining</v>
      </c>
      <c r="S19" s="165" t="str">
        <f t="shared" ca="1" si="2"/>
        <v>JP</v>
      </c>
      <c r="T19" s="165" t="str">
        <f ca="1">IF(B19="","",IF(ISERROR(MATCH($J19,SorP!$B$1:$B$6261,0)),"",INDIRECT("'SorP'!$A$"&amp;MATCH($S19&amp;$J19,SorP!C:C,0))))</f>
        <v>JP-13</v>
      </c>
      <c r="U19" s="185"/>
      <c r="V19" s="209">
        <f>IF(C19="",NA(),IF(OR(C19="Smelter not listed",C19="Smelter not yet identified"),MATCH($B19&amp;$D19,'Smelter Look-up'!$J:$J,0),MATCH($B19&amp;$C19,'Smelter Look-up'!$J:$J,0)))</f>
        <v>70</v>
      </c>
      <c r="X19" s="210">
        <f t="shared" si="3"/>
        <v>0</v>
      </c>
      <c r="AB19" s="211" t="str">
        <f t="shared" si="4"/>
        <v>GoldChugai Mining</v>
      </c>
    </row>
    <row r="20" spans="1:28" s="210" customFormat="1" ht="63.75">
      <c r="A20" s="165" t="s">
        <v>649</v>
      </c>
      <c r="B20" s="166" t="s">
        <v>1087</v>
      </c>
      <c r="C20" s="170" t="s">
        <v>2160</v>
      </c>
      <c r="D20" s="213"/>
      <c r="E20" s="166" t="s">
        <v>1069</v>
      </c>
      <c r="F20" s="166" t="s">
        <v>649</v>
      </c>
      <c r="G20" s="166" t="s">
        <v>12764</v>
      </c>
      <c r="H20" s="167">
        <v>0</v>
      </c>
      <c r="I20" s="168" t="s">
        <v>1525</v>
      </c>
      <c r="J20" s="168" t="s">
        <v>12416</v>
      </c>
      <c r="K20" s="207"/>
      <c r="L20" s="207"/>
      <c r="M20" s="207"/>
      <c r="N20" s="207"/>
      <c r="O20" s="207"/>
      <c r="P20" s="169"/>
      <c r="Q20" s="208"/>
      <c r="R20" s="166" t="str">
        <f ca="1">IF(ISERROR($V20),"",OFFSET('Smelter Look-up'!$C$4,$V20-4,0)&amp;"")</f>
        <v>DSC (Do Sung Corporation)</v>
      </c>
      <c r="S20" s="165" t="str">
        <f t="shared" ca="1" si="2"/>
        <v>KR</v>
      </c>
      <c r="T20" s="165" t="str">
        <f ca="1">IF(B20="","",IF(ISERROR(MATCH($J20,SorP!$B$1:$B$6261,0)),"",INDIRECT("'SorP'!$A$"&amp;MATCH($S20&amp;$J20,SorP!C:C,0))))</f>
        <v>KR-41</v>
      </c>
      <c r="U20" s="185"/>
      <c r="V20" s="209">
        <f>IF(C20="",NA(),IF(OR(C20="Smelter not listed",C20="Smelter not yet identified"),MATCH($B20&amp;$D20,'Smelter Look-up'!$J:$J,0),MATCH($B20&amp;$C20,'Smelter Look-up'!$J:$J,0)))</f>
        <v>83</v>
      </c>
      <c r="X20" s="210">
        <f t="shared" si="3"/>
        <v>0</v>
      </c>
      <c r="AB20" s="211" t="str">
        <f t="shared" si="4"/>
        <v>GoldDSC (Do Sung Corporation)</v>
      </c>
    </row>
    <row r="21" spans="1:28" s="210" customFormat="1" ht="25.5">
      <c r="A21" s="165" t="s">
        <v>650</v>
      </c>
      <c r="B21" s="166" t="s">
        <v>1087</v>
      </c>
      <c r="C21" s="170" t="s">
        <v>866</v>
      </c>
      <c r="D21" s="213"/>
      <c r="E21" s="166" t="s">
        <v>1066</v>
      </c>
      <c r="F21" s="166" t="s">
        <v>650</v>
      </c>
      <c r="G21" s="166" t="s">
        <v>12764</v>
      </c>
      <c r="H21" s="167">
        <v>0</v>
      </c>
      <c r="I21" s="168" t="s">
        <v>1526</v>
      </c>
      <c r="J21" s="168" t="s">
        <v>1527</v>
      </c>
      <c r="K21" s="207"/>
      <c r="L21" s="207"/>
      <c r="M21" s="207"/>
      <c r="N21" s="207"/>
      <c r="O21" s="207"/>
      <c r="P21" s="169"/>
      <c r="Q21" s="208"/>
      <c r="R21" s="166" t="str">
        <f ca="1">IF(ISERROR($V21),"",OFFSET('Smelter Look-up'!$C$4,$V21-4,0)&amp;"")</f>
        <v>Dowa</v>
      </c>
      <c r="S21" s="165" t="str">
        <f t="shared" ca="1" si="2"/>
        <v>JP</v>
      </c>
      <c r="T21" s="165" t="str">
        <f ca="1">IF(B21="","",IF(ISERROR(MATCH($J21,SorP!$B$1:$B$6261,0)),"",INDIRECT("'SorP'!$A$"&amp;MATCH($S21&amp;$J21,SorP!C:C,0))))</f>
        <v>JP-05</v>
      </c>
      <c r="U21" s="185"/>
      <c r="V21" s="209">
        <f>IF(C21="",NA(),IF(OR(C21="Smelter not listed",C21="Smelter not yet identified"),MATCH($B21&amp;$D21,'Smelter Look-up'!$J:$J,0),MATCH($B21&amp;$C21,'Smelter Look-up'!$J:$J,0)))</f>
        <v>79</v>
      </c>
      <c r="X21" s="210">
        <f t="shared" si="3"/>
        <v>0</v>
      </c>
      <c r="AB21" s="211" t="str">
        <f t="shared" si="4"/>
        <v>GoldDowa</v>
      </c>
    </row>
    <row r="22" spans="1:28" s="210" customFormat="1" ht="25.5">
      <c r="A22" s="165" t="s">
        <v>650</v>
      </c>
      <c r="B22" s="166" t="s">
        <v>1087</v>
      </c>
      <c r="C22" s="170" t="s">
        <v>866</v>
      </c>
      <c r="D22" s="213"/>
      <c r="E22" s="166" t="s">
        <v>1066</v>
      </c>
      <c r="F22" s="166" t="s">
        <v>650</v>
      </c>
      <c r="G22" s="166" t="s">
        <v>12764</v>
      </c>
      <c r="H22" s="167">
        <v>0</v>
      </c>
      <c r="I22" s="168" t="s">
        <v>1526</v>
      </c>
      <c r="J22" s="168" t="s">
        <v>1527</v>
      </c>
      <c r="K22" s="207"/>
      <c r="L22" s="207"/>
      <c r="M22" s="207"/>
      <c r="N22" s="207"/>
      <c r="O22" s="207"/>
      <c r="P22" s="169"/>
      <c r="Q22" s="208"/>
      <c r="R22" s="166" t="str">
        <f ca="1">IF(ISERROR($V22),"",OFFSET('Smelter Look-up'!$C$4,$V22-4,0)&amp;"")</f>
        <v>Dowa</v>
      </c>
      <c r="S22" s="165" t="str">
        <f t="shared" ca="1" si="2"/>
        <v>JP</v>
      </c>
      <c r="T22" s="165" t="str">
        <f ca="1">IF(B22="","",IF(ISERROR(MATCH($J22,SorP!$B$1:$B$6261,0)),"",INDIRECT("'SorP'!$A$"&amp;MATCH($S22&amp;$J22,SorP!C:C,0))))</f>
        <v>JP-05</v>
      </c>
      <c r="U22" s="185"/>
      <c r="V22" s="209">
        <f>IF(C22="",NA(),IF(OR(C22="Smelter not listed",C22="Smelter not yet identified"),MATCH($B22&amp;$D22,'Smelter Look-up'!$J:$J,0),MATCH($B22&amp;$C22,'Smelter Look-up'!$J:$J,0)))</f>
        <v>79</v>
      </c>
      <c r="X22" s="210">
        <f t="shared" si="3"/>
        <v>0</v>
      </c>
      <c r="AB22" s="211" t="str">
        <f t="shared" si="4"/>
        <v>GoldDowa</v>
      </c>
    </row>
    <row r="23" spans="1:28" s="210" customFormat="1" ht="89.25">
      <c r="A23" s="165" t="s">
        <v>382</v>
      </c>
      <c r="B23" s="166" t="s">
        <v>1087</v>
      </c>
      <c r="C23" s="170" t="s">
        <v>13321</v>
      </c>
      <c r="D23" s="213"/>
      <c r="E23" s="166" t="s">
        <v>1066</v>
      </c>
      <c r="F23" s="166" t="s">
        <v>382</v>
      </c>
      <c r="G23" s="166" t="s">
        <v>12764</v>
      </c>
      <c r="H23" s="167">
        <v>0</v>
      </c>
      <c r="I23" s="168" t="s">
        <v>1531</v>
      </c>
      <c r="J23" s="168" t="s">
        <v>1532</v>
      </c>
      <c r="K23" s="207"/>
      <c r="L23" s="207"/>
      <c r="M23" s="207"/>
      <c r="N23" s="207"/>
      <c r="O23" s="207"/>
      <c r="P23" s="169"/>
      <c r="Q23" s="208"/>
      <c r="R23" s="166" t="str">
        <f ca="1">IF(ISERROR($V23),"",OFFSET('Smelter Look-up'!$C$4,$V23-4,0)&amp;"")</f>
        <v>Eco-System Recycling Co., Ltd. East Plant</v>
      </c>
      <c r="S23" s="165" t="str">
        <f t="shared" ca="1" si="2"/>
        <v>JP</v>
      </c>
      <c r="T23" s="165" t="str">
        <f ca="1">IF(B23="","",IF(ISERROR(MATCH($J23,SorP!$B$1:$B$6261,0)),"",INDIRECT("'SorP'!$A$"&amp;MATCH($S23&amp;$J23,SorP!C:C,0))))</f>
        <v>JP-11</v>
      </c>
      <c r="U23" s="185"/>
      <c r="V23" s="209">
        <f>IF(C23="",NA(),IF(OR(C23="Smelter not listed",C23="Smelter not yet identified"),MATCH($B23&amp;$D23,'Smelter Look-up'!$J:$J,0),MATCH($B23&amp;$C23,'Smelter Look-up'!$J:$J,0)))</f>
        <v>84</v>
      </c>
      <c r="X23" s="210">
        <f t="shared" si="3"/>
        <v>0</v>
      </c>
      <c r="AB23" s="211" t="str">
        <f t="shared" si="4"/>
        <v>GoldEco-System Recycling Co., Ltd. East Plant</v>
      </c>
    </row>
    <row r="24" spans="1:28" s="210" customFormat="1" ht="38.25">
      <c r="A24" s="165" t="s">
        <v>2388</v>
      </c>
      <c r="B24" s="166" t="s">
        <v>1087</v>
      </c>
      <c r="C24" s="170" t="s">
        <v>13326</v>
      </c>
      <c r="D24" s="213"/>
      <c r="E24" s="166" t="s">
        <v>1069</v>
      </c>
      <c r="F24" s="166" t="s">
        <v>2388</v>
      </c>
      <c r="G24" s="166" t="s">
        <v>12764</v>
      </c>
      <c r="H24" s="167">
        <v>0</v>
      </c>
      <c r="I24" s="168" t="s">
        <v>2389</v>
      </c>
      <c r="J24" s="168" t="s">
        <v>12412</v>
      </c>
      <c r="K24" s="207"/>
      <c r="L24" s="207"/>
      <c r="M24" s="207"/>
      <c r="N24" s="207"/>
      <c r="O24" s="207"/>
      <c r="P24" s="169"/>
      <c r="Q24" s="208"/>
      <c r="R24" s="166" t="str">
        <f ca="1">IF(ISERROR($V24),"",OFFSET('Smelter Look-up'!$C$4,$V24-4,0)&amp;"")</f>
        <v>LT Metal Ltd.</v>
      </c>
      <c r="S24" s="165" t="str">
        <f t="shared" ca="1" si="2"/>
        <v>KR</v>
      </c>
      <c r="T24" s="165" t="str">
        <f ca="1">IF(B24="","",IF(ISERROR(MATCH($J24,SorP!$B$1:$B$6261,0)),"",INDIRECT("'SorP'!$A$"&amp;MATCH($S24&amp;$J24,SorP!C:C,0))))</f>
        <v>KR-28</v>
      </c>
      <c r="U24" s="185"/>
      <c r="V24" s="209">
        <f>IF(C24="",NA(),IF(OR(C24="Smelter not listed",C24="Smelter not yet identified"),MATCH($B24&amp;$D24,'Smelter Look-up'!$J:$J,0),MATCH($B24&amp;$C24,'Smelter Look-up'!$J:$J,0)))</f>
        <v>179</v>
      </c>
      <c r="X24" s="210">
        <f t="shared" si="3"/>
        <v>0</v>
      </c>
      <c r="AB24" s="211" t="str">
        <f t="shared" si="4"/>
        <v>GoldLT Metal Ltd.</v>
      </c>
    </row>
    <row r="25" spans="1:28" s="210" customFormat="1" ht="51">
      <c r="A25" s="165" t="s">
        <v>652</v>
      </c>
      <c r="B25" s="166" t="s">
        <v>1087</v>
      </c>
      <c r="C25" s="170" t="s">
        <v>997</v>
      </c>
      <c r="D25" s="213"/>
      <c r="E25" s="166" t="s">
        <v>1059</v>
      </c>
      <c r="F25" s="166" t="s">
        <v>652</v>
      </c>
      <c r="G25" s="166" t="s">
        <v>12764</v>
      </c>
      <c r="H25" s="167">
        <v>0</v>
      </c>
      <c r="I25" s="168" t="s">
        <v>1498</v>
      </c>
      <c r="J25" s="168" t="s">
        <v>1499</v>
      </c>
      <c r="K25" s="207"/>
      <c r="L25" s="207"/>
      <c r="M25" s="207"/>
      <c r="N25" s="207"/>
      <c r="O25" s="207"/>
      <c r="P25" s="169"/>
      <c r="Q25" s="208"/>
      <c r="R25" s="166" t="str">
        <f ca="1">IF(ISERROR($V25),"",OFFSET('Smelter Look-up'!$C$4,$V25-4,0)&amp;"")</f>
        <v>Heimerle + Meule GmbH</v>
      </c>
      <c r="S25" s="165" t="str">
        <f t="shared" ca="1" si="2"/>
        <v>DE</v>
      </c>
      <c r="T25" s="165" t="str">
        <f ca="1">IF(B25="","",IF(ISERROR(MATCH($J25,SorP!$B$1:$B$6261,0)),"",INDIRECT("'SorP'!$A$"&amp;MATCH($S25&amp;$J25,SorP!C:C,0))))</f>
        <v>DE-BW</v>
      </c>
      <c r="U25" s="185"/>
      <c r="V25" s="209">
        <f>IF(C25="",NA(),IF(OR(C25="Smelter not listed",C25="Smelter not yet identified"),MATCH($B25&amp;$D25,'Smelter Look-up'!$J:$J,0),MATCH($B25&amp;$C25,'Smelter Look-up'!$J:$J,0)))</f>
        <v>117</v>
      </c>
      <c r="X25" s="210">
        <f t="shared" si="3"/>
        <v>0</v>
      </c>
      <c r="AB25" s="211" t="str">
        <f t="shared" si="4"/>
        <v>GoldHeimerle + Meule GmbH</v>
      </c>
    </row>
    <row r="26" spans="1:28" s="210" customFormat="1" ht="76.5">
      <c r="A26" s="165" t="s">
        <v>653</v>
      </c>
      <c r="B26" s="166" t="s">
        <v>1087</v>
      </c>
      <c r="C26" s="170" t="s">
        <v>2390</v>
      </c>
      <c r="D26" s="213"/>
      <c r="E26" s="166" t="s">
        <v>1058</v>
      </c>
      <c r="F26" s="166" t="s">
        <v>653</v>
      </c>
      <c r="G26" s="166" t="s">
        <v>12764</v>
      </c>
      <c r="H26" s="167"/>
      <c r="I26" s="168" t="s">
        <v>1536</v>
      </c>
      <c r="J26" s="168" t="s">
        <v>15158</v>
      </c>
      <c r="K26" s="207"/>
      <c r="L26" s="207"/>
      <c r="M26" s="207"/>
      <c r="N26" s="207"/>
      <c r="O26" s="207"/>
      <c r="P26" s="169"/>
      <c r="Q26" s="208"/>
      <c r="R26" s="166" t="str">
        <f ca="1">IF(ISERROR($V26),"",OFFSET('Smelter Look-up'!$C$4,$V26-4,0)&amp;"")</f>
        <v>Heraeus Metals Hong Kong Ltd.</v>
      </c>
      <c r="S26" s="165" t="str">
        <f t="shared" ca="1" si="2"/>
        <v>CN</v>
      </c>
      <c r="T26" s="165" t="str">
        <f ca="1">IF(B26="","",IF(ISERROR(MATCH($J26,SorP!$B$1:$B$6261,0)),"",INDIRECT("'SorP'!$A$"&amp;MATCH($S26&amp;$J26,SorP!C:C,0))))</f>
        <v/>
      </c>
      <c r="U26" s="185"/>
      <c r="V26" s="209">
        <f>IF(C26="",NA(),IF(OR(C26="Smelter not listed",C26="Smelter not yet identified"),MATCH($B26&amp;$D26,'Smelter Look-up'!$J:$J,0),MATCH($B26&amp;$C26,'Smelter Look-up'!$J:$J,0)))</f>
        <v>123</v>
      </c>
      <c r="X26" s="210">
        <f t="shared" si="3"/>
        <v>0</v>
      </c>
      <c r="AB26" s="211" t="str">
        <f t="shared" si="4"/>
        <v>GoldHeraeus Metals Hong Kong Ltd.</v>
      </c>
    </row>
    <row r="27" spans="1:28" s="210" customFormat="1" ht="63.75">
      <c r="A27" s="165" t="s">
        <v>654</v>
      </c>
      <c r="B27" s="166" t="s">
        <v>1087</v>
      </c>
      <c r="C27" s="170" t="s">
        <v>14502</v>
      </c>
      <c r="D27" s="213"/>
      <c r="E27" s="166" t="s">
        <v>1059</v>
      </c>
      <c r="F27" s="166" t="s">
        <v>654</v>
      </c>
      <c r="G27" s="166" t="s">
        <v>12764</v>
      </c>
      <c r="H27" s="167">
        <v>0</v>
      </c>
      <c r="I27" s="168" t="s">
        <v>1537</v>
      </c>
      <c r="J27" s="168" t="s">
        <v>4119</v>
      </c>
      <c r="K27" s="207"/>
      <c r="L27" s="207"/>
      <c r="M27" s="207"/>
      <c r="N27" s="207"/>
      <c r="O27" s="207"/>
      <c r="P27" s="169"/>
      <c r="Q27" s="208"/>
      <c r="R27" s="166" t="str">
        <f ca="1">IF(ISERROR($V27),"",OFFSET('Smelter Look-up'!$C$4,$V27-4,0)&amp;"")</f>
        <v>Heraeus Germany GmbH Co. KG</v>
      </c>
      <c r="S27" s="165" t="str">
        <f t="shared" ca="1" si="2"/>
        <v>DE</v>
      </c>
      <c r="T27" s="165" t="str">
        <f ca="1">IF(B27="","",IF(ISERROR(MATCH($J27,SorP!$B$1:$B$6261,0)),"",INDIRECT("'SorP'!$A$"&amp;MATCH($S27&amp;$J27,SorP!C:C,0))))</f>
        <v>DE-HE</v>
      </c>
      <c r="U27" s="185"/>
      <c r="V27" s="209">
        <f>IF(C27="",NA(),IF(OR(C27="Smelter not listed",C27="Smelter not yet identified"),MATCH($B27&amp;$D27,'Smelter Look-up'!$J:$J,0),MATCH($B27&amp;$C27,'Smelter Look-up'!$J:$J,0)))</f>
        <v>121</v>
      </c>
      <c r="X27" s="210">
        <f t="shared" si="3"/>
        <v>0</v>
      </c>
      <c r="AB27" s="211" t="str">
        <f t="shared" si="4"/>
        <v>GoldHeraeus Germany GmbH Co. KG</v>
      </c>
    </row>
    <row r="28" spans="1:28" s="210" customFormat="1" ht="153">
      <c r="A28" s="165" t="s">
        <v>657</v>
      </c>
      <c r="B28" s="166" t="s">
        <v>1087</v>
      </c>
      <c r="C28" s="170" t="s">
        <v>2195</v>
      </c>
      <c r="D28" s="213"/>
      <c r="E28" s="166" t="s">
        <v>1058</v>
      </c>
      <c r="F28" s="166" t="s">
        <v>657</v>
      </c>
      <c r="G28" s="166" t="s">
        <v>12764</v>
      </c>
      <c r="H28" s="167">
        <v>0</v>
      </c>
      <c r="I28" s="168" t="s">
        <v>1540</v>
      </c>
      <c r="J28" s="168" t="s">
        <v>13100</v>
      </c>
      <c r="K28" s="207"/>
      <c r="L28" s="207"/>
      <c r="M28" s="207"/>
      <c r="N28" s="207"/>
      <c r="O28" s="207"/>
      <c r="P28" s="169"/>
      <c r="Q28" s="208"/>
      <c r="R28" s="166" t="str">
        <f ca="1">IF(ISERROR($V28),"",OFFSET('Smelter Look-up'!$C$4,$V28-4,0)&amp;"")</f>
        <v>Inner Mongolia Qiankun Gold and Silver Refinery Share Co., Ltd.</v>
      </c>
      <c r="S28" s="165" t="str">
        <f t="shared" ca="1" si="2"/>
        <v>CN</v>
      </c>
      <c r="T28" s="165" t="str">
        <f ca="1">IF(B28="","",IF(ISERROR(MATCH($J28,SorP!$B$1:$B$6261,0)),"",INDIRECT("'SorP'!$A$"&amp;MATCH($S28&amp;$J28,SorP!C:C,0))))</f>
        <v>CN-NM</v>
      </c>
      <c r="U28" s="185"/>
      <c r="V28" s="209">
        <f>IF(C28="",NA(),IF(OR(C28="Smelter not listed",C28="Smelter not yet identified"),MATCH($B28&amp;$D28,'Smelter Look-up'!$J:$J,0),MATCH($B28&amp;$C28,'Smelter Look-up'!$J:$J,0)))</f>
        <v>135</v>
      </c>
      <c r="X28" s="210">
        <f t="shared" si="3"/>
        <v>0</v>
      </c>
      <c r="AB28" s="211" t="str">
        <f t="shared" si="4"/>
        <v>GoldInner Mongolia Qiankun Gold and Silver Refinery Share Co., Ltd.</v>
      </c>
    </row>
    <row r="29" spans="1:28" s="210" customFormat="1" ht="76.5">
      <c r="A29" s="165" t="s">
        <v>658</v>
      </c>
      <c r="B29" s="166" t="s">
        <v>1087</v>
      </c>
      <c r="C29" s="170" t="s">
        <v>1182</v>
      </c>
      <c r="D29" s="213" t="s">
        <v>1182</v>
      </c>
      <c r="E29" s="166" t="s">
        <v>1066</v>
      </c>
      <c r="F29" s="166" t="s">
        <v>658</v>
      </c>
      <c r="G29" s="166" t="s">
        <v>12764</v>
      </c>
      <c r="H29" s="167" t="s">
        <v>15898</v>
      </c>
      <c r="I29" s="168" t="s">
        <v>1541</v>
      </c>
      <c r="J29" s="168" t="s">
        <v>1532</v>
      </c>
      <c r="K29" s="207" t="s">
        <v>15899</v>
      </c>
      <c r="L29" s="207" t="s">
        <v>15893</v>
      </c>
      <c r="M29" s="207"/>
      <c r="N29" s="207" t="s">
        <v>15894</v>
      </c>
      <c r="O29" s="207" t="s">
        <v>15894</v>
      </c>
      <c r="P29" s="169" t="s">
        <v>473</v>
      </c>
      <c r="Q29" s="208" t="s">
        <v>15895</v>
      </c>
      <c r="R29" s="166" t="str">
        <f ca="1">IF(ISERROR($V29),"",OFFSET('Smelter Look-up'!$C$4,$V29-4,0)&amp;"")</f>
        <v>Ishifuku Metal Industry Co., Ltd.</v>
      </c>
      <c r="S29" s="165" t="str">
        <f t="shared" ca="1" si="2"/>
        <v>JP</v>
      </c>
      <c r="T29" s="165" t="str">
        <f ca="1">IF(B29="","",IF(ISERROR(MATCH($J29,SorP!$B$1:$B$6261,0)),"",INDIRECT("'SorP'!$A$"&amp;MATCH($S29&amp;$J29,SorP!C:C,0))))</f>
        <v>JP-11</v>
      </c>
      <c r="U29" s="185"/>
      <c r="V29" s="209">
        <f>IF(C29="",NA(),IF(OR(C29="Smelter not listed",C29="Smelter not yet identified"),MATCH($B29&amp;$D29,'Smelter Look-up'!$J:$J,0),MATCH($B29&amp;$C29,'Smelter Look-up'!$J:$J,0)))</f>
        <v>137</v>
      </c>
      <c r="X29" s="210">
        <f t="shared" si="3"/>
        <v>0</v>
      </c>
      <c r="AB29" s="211" t="str">
        <f t="shared" si="4"/>
        <v>GoldIshifuku Metal Industry Co., Ltd.</v>
      </c>
    </row>
    <row r="30" spans="1:28" s="210" customFormat="1" ht="51">
      <c r="A30" s="165" t="s">
        <v>659</v>
      </c>
      <c r="B30" s="166" t="s">
        <v>1087</v>
      </c>
      <c r="C30" s="170" t="s">
        <v>1189</v>
      </c>
      <c r="D30" s="213"/>
      <c r="E30" s="166" t="s">
        <v>849</v>
      </c>
      <c r="F30" s="166" t="s">
        <v>659</v>
      </c>
      <c r="G30" s="166" t="s">
        <v>12764</v>
      </c>
      <c r="H30" s="167">
        <v>0</v>
      </c>
      <c r="I30" s="168" t="s">
        <v>15900</v>
      </c>
      <c r="J30" s="168" t="s">
        <v>10828</v>
      </c>
      <c r="K30" s="207"/>
      <c r="L30" s="207"/>
      <c r="M30" s="207"/>
      <c r="N30" s="207"/>
      <c r="O30" s="207"/>
      <c r="P30" s="169"/>
      <c r="Q30" s="208"/>
      <c r="R30" s="166" t="str">
        <f ca="1">IF(ISERROR($V30),"",OFFSET('Smelter Look-up'!$C$4,$V30-4,0)&amp;"")</f>
        <v>Istanbul Gold Refinery</v>
      </c>
      <c r="S30" s="165" t="str">
        <f t="shared" ca="1" si="2"/>
        <v>Unknown</v>
      </c>
      <c r="T30" s="165" t="e">
        <f ca="1">IF(B30="","",IF(ISERROR(MATCH($J30,SorP!$B$1:$B$6261,0)),"",INDIRECT("'SorP'!$A$"&amp;MATCH($S30&amp;$J30,SorP!C:C,0))))</f>
        <v>#N/A</v>
      </c>
      <c r="U30" s="185"/>
      <c r="V30" s="209">
        <f>IF(C30="",NA(),IF(OR(C30="Smelter not listed",C30="Smelter not yet identified"),MATCH($B30&amp;$D30,'Smelter Look-up'!$J:$J,0),MATCH($B30&amp;$C30,'Smelter Look-up'!$J:$J,0)))</f>
        <v>138</v>
      </c>
      <c r="X30" s="210">
        <f t="shared" si="3"/>
        <v>0</v>
      </c>
      <c r="AB30" s="211" t="str">
        <f t="shared" si="4"/>
        <v>GoldIstanbul Gold Refinery</v>
      </c>
    </row>
    <row r="31" spans="1:28" s="210" customFormat="1" ht="25.5">
      <c r="A31" s="165" t="s">
        <v>660</v>
      </c>
      <c r="B31" s="166" t="s">
        <v>1087</v>
      </c>
      <c r="C31" s="170" t="s">
        <v>868</v>
      </c>
      <c r="D31" s="213"/>
      <c r="E31" s="166" t="s">
        <v>1066</v>
      </c>
      <c r="F31" s="166" t="s">
        <v>660</v>
      </c>
      <c r="G31" s="166" t="s">
        <v>12764</v>
      </c>
      <c r="H31" s="167">
        <v>0</v>
      </c>
      <c r="I31" s="168" t="s">
        <v>1542</v>
      </c>
      <c r="J31" s="168" t="s">
        <v>1542</v>
      </c>
      <c r="K31" s="207"/>
      <c r="L31" s="207"/>
      <c r="M31" s="207"/>
      <c r="N31" s="207"/>
      <c r="O31" s="207"/>
      <c r="P31" s="169"/>
      <c r="Q31" s="208"/>
      <c r="R31" s="166" t="str">
        <f ca="1">IF(ISERROR($V31),"",OFFSET('Smelter Look-up'!$C$4,$V31-4,0)&amp;"")</f>
        <v>Japan Mint</v>
      </c>
      <c r="S31" s="165" t="str">
        <f t="shared" ca="1" si="2"/>
        <v>JP</v>
      </c>
      <c r="T31" s="165" t="str">
        <f ca="1">IF(B31="","",IF(ISERROR(MATCH($J31,SorP!$B$1:$B$6261,0)),"",INDIRECT("'SorP'!$A$"&amp;MATCH($S31&amp;$J31,SorP!C:C,0))))</f>
        <v>JP-27</v>
      </c>
      <c r="U31" s="185"/>
      <c r="V31" s="209">
        <f>IF(C31="",NA(),IF(OR(C31="Smelter not listed",C31="Smelter not yet identified"),MATCH($B31&amp;$D31,'Smelter Look-up'!$J:$J,0),MATCH($B31&amp;$C31,'Smelter Look-up'!$J:$J,0)))</f>
        <v>141</v>
      </c>
      <c r="X31" s="210">
        <f t="shared" si="3"/>
        <v>0</v>
      </c>
      <c r="AB31" s="211" t="str">
        <f t="shared" si="4"/>
        <v>GoldJapan Mint</v>
      </c>
    </row>
    <row r="32" spans="1:28" s="210" customFormat="1" ht="63.75">
      <c r="A32" s="165" t="s">
        <v>661</v>
      </c>
      <c r="B32" s="166" t="s">
        <v>1087</v>
      </c>
      <c r="C32" s="170" t="s">
        <v>2196</v>
      </c>
      <c r="D32" s="213"/>
      <c r="E32" s="166" t="s">
        <v>1058</v>
      </c>
      <c r="F32" s="166" t="s">
        <v>661</v>
      </c>
      <c r="G32" s="166" t="s">
        <v>12764</v>
      </c>
      <c r="H32" s="167">
        <v>0</v>
      </c>
      <c r="I32" s="168" t="s">
        <v>1543</v>
      </c>
      <c r="J32" s="168" t="s">
        <v>13117</v>
      </c>
      <c r="K32" s="207"/>
      <c r="L32" s="207"/>
      <c r="M32" s="207"/>
      <c r="N32" s="207"/>
      <c r="O32" s="207"/>
      <c r="P32" s="169"/>
      <c r="Q32" s="208"/>
      <c r="R32" s="166" t="str">
        <f ca="1">IF(ISERROR($V32),"",OFFSET('Smelter Look-up'!$C$4,$V32-4,0)&amp;"")</f>
        <v>Jiangxi Copper Co., Ltd.</v>
      </c>
      <c r="S32" s="165" t="str">
        <f t="shared" ca="1" si="2"/>
        <v>CN</v>
      </c>
      <c r="T32" s="165" t="str">
        <f ca="1">IF(B32="","",IF(ISERROR(MATCH($J32,SorP!$B$1:$B$6261,0)),"",INDIRECT("'SorP'!$A$"&amp;MATCH($S32&amp;$J32,SorP!C:C,0))))</f>
        <v>CN-JX</v>
      </c>
      <c r="U32" s="185"/>
      <c r="V32" s="209">
        <f>IF(C32="",NA(),IF(OR(C32="Smelter not listed",C32="Smelter not yet identified"),MATCH($B32&amp;$D32,'Smelter Look-up'!$J:$J,0),MATCH($B32&amp;$C32,'Smelter Look-up'!$J:$J,0)))</f>
        <v>143</v>
      </c>
      <c r="X32" s="210">
        <f t="shared" si="3"/>
        <v>0</v>
      </c>
      <c r="AB32" s="211" t="str">
        <f t="shared" si="4"/>
        <v>GoldJiangxi Copper Co., Ltd.</v>
      </c>
    </row>
    <row r="33" spans="1:28" s="210" customFormat="1" ht="63.75">
      <c r="A33" s="165" t="s">
        <v>662</v>
      </c>
      <c r="B33" s="166" t="s">
        <v>1087</v>
      </c>
      <c r="C33" s="170" t="s">
        <v>2106</v>
      </c>
      <c r="D33" s="213"/>
      <c r="E33" s="166" t="s">
        <v>2323</v>
      </c>
      <c r="F33" s="166" t="s">
        <v>662</v>
      </c>
      <c r="G33" s="166" t="s">
        <v>12764</v>
      </c>
      <c r="H33" s="167">
        <v>0</v>
      </c>
      <c r="I33" s="168" t="s">
        <v>1545</v>
      </c>
      <c r="J33" s="168" t="s">
        <v>1546</v>
      </c>
      <c r="K33" s="207"/>
      <c r="L33" s="207"/>
      <c r="M33" s="207"/>
      <c r="N33" s="207"/>
      <c r="O33" s="207"/>
      <c r="P33" s="169"/>
      <c r="Q33" s="208"/>
      <c r="R33" s="166" t="str">
        <f ca="1">IF(ISERROR($V33),"",OFFSET('Smelter Look-up'!$C$4,$V33-4,0)&amp;"")</f>
        <v>Asahi Refining USA Inc.</v>
      </c>
      <c r="S33" s="165" t="str">
        <f t="shared" ca="1" si="2"/>
        <v>US</v>
      </c>
      <c r="T33" s="165" t="str">
        <f ca="1">IF(B33="","",IF(ISERROR(MATCH($J33,SorP!$B$1:$B$6261,0)),"",INDIRECT("'SorP'!$A$"&amp;MATCH($S33&amp;$J33,SorP!C:C,0))))</f>
        <v>US-UT</v>
      </c>
      <c r="U33" s="185"/>
      <c r="V33" s="209">
        <f>IF(C33="",NA(),IF(OR(C33="Smelter not listed",C33="Smelter not yet identified"),MATCH($B33&amp;$D33,'Smelter Look-up'!$J:$J,0),MATCH($B33&amp;$C33,'Smelter Look-up'!$J:$J,0)))</f>
        <v>35</v>
      </c>
      <c r="X33" s="210">
        <f t="shared" si="3"/>
        <v>0</v>
      </c>
      <c r="AB33" s="211" t="str">
        <f t="shared" si="4"/>
        <v>GoldAsahi Refining USA Inc.</v>
      </c>
    </row>
    <row r="34" spans="1:28" s="210" customFormat="1" ht="63.75">
      <c r="A34" s="165" t="s">
        <v>663</v>
      </c>
      <c r="B34" s="166" t="s">
        <v>1087</v>
      </c>
      <c r="C34" s="170" t="s">
        <v>2183</v>
      </c>
      <c r="D34" s="213"/>
      <c r="E34" s="166" t="s">
        <v>1055</v>
      </c>
      <c r="F34" s="166" t="s">
        <v>663</v>
      </c>
      <c r="G34" s="166" t="s">
        <v>12764</v>
      </c>
      <c r="H34" s="167"/>
      <c r="I34" s="168" t="s">
        <v>1548</v>
      </c>
      <c r="J34" s="168" t="s">
        <v>1549</v>
      </c>
      <c r="K34" s="207"/>
      <c r="L34" s="207"/>
      <c r="M34" s="207"/>
      <c r="N34" s="207"/>
      <c r="O34" s="207"/>
      <c r="P34" s="169"/>
      <c r="Q34" s="208"/>
      <c r="R34" s="166" t="str">
        <f ca="1">IF(ISERROR($V34),"",OFFSET('Smelter Look-up'!$C$4,$V34-4,0)&amp;"")</f>
        <v>Asahi Refining Canada Ltd.</v>
      </c>
      <c r="S34" s="165" t="str">
        <f t="shared" ca="1" si="2"/>
        <v>CA</v>
      </c>
      <c r="T34" s="165" t="str">
        <f ca="1">IF(B34="","",IF(ISERROR(MATCH($J34,SorP!$B$1:$B$6261,0)),"",INDIRECT("'SorP'!$A$"&amp;MATCH($S34&amp;$J34,SorP!C:C,0))))</f>
        <v>CA-ON</v>
      </c>
      <c r="U34" s="185"/>
      <c r="V34" s="209">
        <f>IF(C34="",NA(),IF(OR(C34="Smelter not listed",C34="Smelter not yet identified"),MATCH($B34&amp;$D34,'Smelter Look-up'!$J:$J,0),MATCH($B34&amp;$C34,'Smelter Look-up'!$J:$J,0)))</f>
        <v>34</v>
      </c>
      <c r="X34" s="210">
        <f t="shared" si="3"/>
        <v>0</v>
      </c>
      <c r="AB34" s="211" t="str">
        <f t="shared" si="4"/>
        <v>GoldAsahi Refining Canada Ltd.</v>
      </c>
    </row>
    <row r="35" spans="1:28" s="210" customFormat="1" ht="63.75">
      <c r="A35" s="165" t="s">
        <v>663</v>
      </c>
      <c r="B35" s="166" t="s">
        <v>1087</v>
      </c>
      <c r="C35" s="170" t="s">
        <v>2183</v>
      </c>
      <c r="D35" s="213"/>
      <c r="E35" s="166" t="s">
        <v>1055</v>
      </c>
      <c r="F35" s="166" t="s">
        <v>663</v>
      </c>
      <c r="G35" s="166" t="s">
        <v>12764</v>
      </c>
      <c r="H35" s="167">
        <v>0</v>
      </c>
      <c r="I35" s="168" t="s">
        <v>1548</v>
      </c>
      <c r="J35" s="168" t="s">
        <v>1549</v>
      </c>
      <c r="K35" s="207"/>
      <c r="L35" s="207"/>
      <c r="M35" s="207"/>
      <c r="N35" s="207"/>
      <c r="O35" s="207"/>
      <c r="P35" s="169"/>
      <c r="Q35" s="208"/>
      <c r="R35" s="166" t="str">
        <f ca="1">IF(ISERROR($V35),"",OFFSET('Smelter Look-up'!$C$4,$V35-4,0)&amp;"")</f>
        <v>Asahi Refining Canada Ltd.</v>
      </c>
      <c r="S35" s="165" t="str">
        <f t="shared" ca="1" si="2"/>
        <v>CA</v>
      </c>
      <c r="T35" s="165" t="str">
        <f ca="1">IF(B35="","",IF(ISERROR(MATCH($J35,SorP!$B$1:$B$6261,0)),"",INDIRECT("'SorP'!$A$"&amp;MATCH($S35&amp;$J35,SorP!C:C,0))))</f>
        <v>CA-ON</v>
      </c>
      <c r="U35" s="185"/>
      <c r="V35" s="209">
        <f>IF(C35="",NA(),IF(OR(C35="Smelter not listed",C35="Smelter not yet identified"),MATCH($B35&amp;$D35,'Smelter Look-up'!$J:$J,0),MATCH($B35&amp;$C35,'Smelter Look-up'!$J:$J,0)))</f>
        <v>34</v>
      </c>
      <c r="X35" s="210">
        <f t="shared" si="3"/>
        <v>0</v>
      </c>
      <c r="AB35" s="211" t="str">
        <f t="shared" si="4"/>
        <v>GoldAsahi Refining Canada Ltd.</v>
      </c>
    </row>
    <row r="36" spans="1:28" s="210" customFormat="1" ht="76.5">
      <c r="A36" s="165" t="s">
        <v>666</v>
      </c>
      <c r="B36" s="166" t="s">
        <v>1087</v>
      </c>
      <c r="C36" s="170" t="s">
        <v>52</v>
      </c>
      <c r="D36" s="213" t="s">
        <v>52</v>
      </c>
      <c r="E36" s="166" t="s">
        <v>1066</v>
      </c>
      <c r="F36" s="166" t="s">
        <v>666</v>
      </c>
      <c r="G36" s="166" t="s">
        <v>12764</v>
      </c>
      <c r="H36" s="167" t="s">
        <v>15901</v>
      </c>
      <c r="I36" s="168" t="s">
        <v>15902</v>
      </c>
      <c r="J36" s="168" t="s">
        <v>6490</v>
      </c>
      <c r="K36" s="207" t="s">
        <v>15903</v>
      </c>
      <c r="L36" s="207" t="s">
        <v>15893</v>
      </c>
      <c r="M36" s="207"/>
      <c r="N36" s="207" t="s">
        <v>15904</v>
      </c>
      <c r="O36" s="207" t="s">
        <v>15905</v>
      </c>
      <c r="P36" s="169" t="s">
        <v>474</v>
      </c>
      <c r="Q36" s="208" t="s">
        <v>15895</v>
      </c>
      <c r="R36" s="166" t="str">
        <f ca="1">IF(ISERROR($V36),"",OFFSET('Smelter Look-up'!$C$4,$V36-4,0)&amp;"")</f>
        <v>JX Advanced Metals Corporation</v>
      </c>
      <c r="S36" s="165" t="str">
        <f t="shared" ca="1" si="2"/>
        <v>JP</v>
      </c>
      <c r="T36" s="165" t="str">
        <f ca="1">IF(B36="","",IF(ISERROR(MATCH($J36,SorP!$B$1:$B$6261,0)),"",INDIRECT("'SorP'!$A$"&amp;MATCH($S36&amp;$J36,SorP!C:C,0))))</f>
        <v>JP-44</v>
      </c>
      <c r="U36" s="185"/>
      <c r="V36" s="209">
        <f>IF(C36="",NA(),IF(OR(C36="Smelter not listed",C36="Smelter not yet identified"),MATCH($B36&amp;$D36,'Smelter Look-up'!$J:$J,0),MATCH($B36&amp;$C36,'Smelter Look-up'!$J:$J,0)))</f>
        <v>152</v>
      </c>
      <c r="X36" s="210">
        <f t="shared" si="3"/>
        <v>0</v>
      </c>
      <c r="AB36" s="211" t="str">
        <f t="shared" si="4"/>
        <v>GoldJX Nippon Mining &amp; Metals Co., Ltd.</v>
      </c>
    </row>
    <row r="37" spans="1:28" s="210" customFormat="1" ht="25.5">
      <c r="A37" s="165" t="s">
        <v>667</v>
      </c>
      <c r="B37" s="166" t="s">
        <v>1087</v>
      </c>
      <c r="C37" s="170" t="s">
        <v>1551</v>
      </c>
      <c r="D37" s="213"/>
      <c r="E37" s="166" t="s">
        <v>1067</v>
      </c>
      <c r="F37" s="166" t="s">
        <v>667</v>
      </c>
      <c r="G37" s="166" t="s">
        <v>12764</v>
      </c>
      <c r="H37" s="167">
        <v>0</v>
      </c>
      <c r="I37" s="168" t="s">
        <v>1552</v>
      </c>
      <c r="J37" s="168" t="s">
        <v>6872</v>
      </c>
      <c r="K37" s="207"/>
      <c r="L37" s="207"/>
      <c r="M37" s="207"/>
      <c r="N37" s="207"/>
      <c r="O37" s="207"/>
      <c r="P37" s="169"/>
      <c r="Q37" s="208"/>
      <c r="R37" s="166" t="str">
        <f ca="1">IF(ISERROR($V37),"",OFFSET('Smelter Look-up'!$C$4,$V37-4,0)&amp;"")</f>
        <v>Kazzinc Ltd</v>
      </c>
      <c r="S37" s="165" t="str">
        <f t="shared" ca="1" si="2"/>
        <v>KZ</v>
      </c>
      <c r="T37" s="165" t="str">
        <f ca="1">IF(B37="","",IF(ISERROR(MATCH($J37,SorP!$B$1:$B$6261,0)),"",INDIRECT("'SorP'!$A$"&amp;MATCH($S37&amp;$J37,SorP!C:C,0))))</f>
        <v>KZ-35</v>
      </c>
      <c r="U37" s="185"/>
      <c r="V37" s="209">
        <f>IF(C37="",NA(),IF(OR(C37="Smelter not listed",C37="Smelter not yet identified"),MATCH($B37&amp;$D37,'Smelter Look-up'!$J:$J,0),MATCH($B37&amp;$C37,'Smelter Look-up'!$J:$J,0)))</f>
        <v>155</v>
      </c>
      <c r="X37" s="210">
        <f t="shared" si="3"/>
        <v>0</v>
      </c>
      <c r="AB37" s="211" t="str">
        <f t="shared" si="4"/>
        <v>GoldKazzinc</v>
      </c>
    </row>
    <row r="38" spans="1:28" s="210" customFormat="1" ht="63.75">
      <c r="A38" s="165" t="s">
        <v>669</v>
      </c>
      <c r="B38" s="166" t="s">
        <v>1087</v>
      </c>
      <c r="C38" s="170" t="s">
        <v>668</v>
      </c>
      <c r="D38" s="213"/>
      <c r="E38" s="166" t="s">
        <v>2323</v>
      </c>
      <c r="F38" s="166" t="s">
        <v>669</v>
      </c>
      <c r="G38" s="166" t="s">
        <v>12764</v>
      </c>
      <c r="H38" s="167">
        <v>0</v>
      </c>
      <c r="I38" s="168" t="s">
        <v>15906</v>
      </c>
      <c r="J38" s="168" t="s">
        <v>1546</v>
      </c>
      <c r="K38" s="207"/>
      <c r="L38" s="207"/>
      <c r="M38" s="207"/>
      <c r="N38" s="207"/>
      <c r="O38" s="207"/>
      <c r="P38" s="169"/>
      <c r="Q38" s="208"/>
      <c r="R38" s="166" t="str">
        <f ca="1">IF(ISERROR($V38),"",OFFSET('Smelter Look-up'!$C$4,$V38-4,0)&amp;"")</f>
        <v>Kennecott Utah Copper LLC</v>
      </c>
      <c r="S38" s="165" t="str">
        <f t="shared" ref="S38:S68" ca="1" si="5">IF(B38="","",IF(ISERROR(MATCH($E38,CL,0)),"Unknown",INDIRECT("'C'!$A$"&amp;MATCH($E38,CL,0)+1)))</f>
        <v>US</v>
      </c>
      <c r="T38" s="165" t="str">
        <f ca="1">IF(B38="","",IF(ISERROR(MATCH($J38,SorP!$B$1:$B$6261,0)),"",INDIRECT("'SorP'!$A$"&amp;MATCH($S38&amp;$J38,SorP!C:C,0))))</f>
        <v>US-UT</v>
      </c>
      <c r="U38" s="185"/>
      <c r="V38" s="209">
        <f>IF(C38="",NA(),IF(OR(C38="Smelter not listed",C38="Smelter not yet identified"),MATCH($B38&amp;$D38,'Smelter Look-up'!$J:$J,0),MATCH($B38&amp;$C38,'Smelter Look-up'!$J:$J,0)))</f>
        <v>157</v>
      </c>
      <c r="X38" s="210">
        <f t="shared" ref="X38:X68" si="6">IF(AND(C38="Smelter not listed",OR(LEN(D38)=0,LEN(E38)=0)),1,0)</f>
        <v>0</v>
      </c>
      <c r="AB38" s="211" t="str">
        <f t="shared" ref="AB38:AB68" si="7">B38&amp;C38</f>
        <v>GoldKennecott Utah Copper LLC</v>
      </c>
    </row>
    <row r="39" spans="1:28" s="210" customFormat="1" ht="63.75">
      <c r="A39" s="165" t="s">
        <v>670</v>
      </c>
      <c r="B39" s="166" t="s">
        <v>1087</v>
      </c>
      <c r="C39" s="170" t="s">
        <v>2056</v>
      </c>
      <c r="D39" s="213"/>
      <c r="E39" s="166" t="s">
        <v>1066</v>
      </c>
      <c r="F39" s="166" t="s">
        <v>670</v>
      </c>
      <c r="G39" s="166" t="s">
        <v>12764</v>
      </c>
      <c r="H39" s="167"/>
      <c r="I39" s="168" t="s">
        <v>1553</v>
      </c>
      <c r="J39" s="168" t="s">
        <v>1532</v>
      </c>
      <c r="K39" s="207"/>
      <c r="L39" s="207"/>
      <c r="M39" s="207"/>
      <c r="N39" s="207"/>
      <c r="O39" s="207"/>
      <c r="P39" s="169"/>
      <c r="Q39" s="208"/>
      <c r="R39" s="166" t="str">
        <f ca="1">IF(ISERROR($V39),"",OFFSET('Smelter Look-up'!$C$4,$V39-4,0)&amp;"")</f>
        <v>Kojima Chemicals Co., Ltd.</v>
      </c>
      <c r="S39" s="165" t="str">
        <f t="shared" ca="1" si="5"/>
        <v>JP</v>
      </c>
      <c r="T39" s="165" t="str">
        <f ca="1">IF(B39="","",IF(ISERROR(MATCH($J39,SorP!$B$1:$B$6261,0)),"",INDIRECT("'SorP'!$A$"&amp;MATCH($S39&amp;$J39,SorP!C:C,0))))</f>
        <v>JP-11</v>
      </c>
      <c r="U39" s="185"/>
      <c r="V39" s="209">
        <f>IF(C39="",NA(),IF(OR(C39="Smelter not listed",C39="Smelter not yet identified"),MATCH($B39&amp;$D39,'Smelter Look-up'!$J:$J,0),MATCH($B39&amp;$C39,'Smelter Look-up'!$J:$J,0)))</f>
        <v>163</v>
      </c>
      <c r="X39" s="210">
        <f t="shared" si="6"/>
        <v>0</v>
      </c>
      <c r="AB39" s="211" t="str">
        <f t="shared" si="7"/>
        <v>GoldKojima Chemicals Co., Ltd.</v>
      </c>
    </row>
    <row r="40" spans="1:28" s="210" customFormat="1" ht="38.25">
      <c r="A40" s="165" t="s">
        <v>672</v>
      </c>
      <c r="B40" s="166" t="s">
        <v>1087</v>
      </c>
      <c r="C40" s="170" t="s">
        <v>15164</v>
      </c>
      <c r="D40" s="213"/>
      <c r="E40" s="166" t="s">
        <v>1069</v>
      </c>
      <c r="F40" s="166" t="s">
        <v>672</v>
      </c>
      <c r="G40" s="166" t="s">
        <v>12764</v>
      </c>
      <c r="H40" s="167">
        <v>0</v>
      </c>
      <c r="I40" s="168" t="s">
        <v>1556</v>
      </c>
      <c r="J40" s="168" t="s">
        <v>12413</v>
      </c>
      <c r="K40" s="207"/>
      <c r="L40" s="207"/>
      <c r="M40" s="207"/>
      <c r="N40" s="207"/>
      <c r="O40" s="207"/>
      <c r="P40" s="169"/>
      <c r="Q40" s="208"/>
      <c r="R40" s="166" t="str">
        <f ca="1">IF(ISERROR($V40),"",OFFSET('Smelter Look-up'!$C$4,$V40-4,0)&amp;"")</f>
        <v>LS MnM Inc.</v>
      </c>
      <c r="S40" s="165" t="str">
        <f t="shared" ca="1" si="5"/>
        <v>KR</v>
      </c>
      <c r="T40" s="165" t="str">
        <f ca="1">IF(B40="","",IF(ISERROR(MATCH($J40,SorP!$B$1:$B$6261,0)),"",INDIRECT("'SorP'!$A$"&amp;MATCH($S40&amp;$J40,SorP!C:C,0))))</f>
        <v>KR-31</v>
      </c>
      <c r="U40" s="185"/>
      <c r="V40" s="209">
        <f>IF(C40="",NA(),IF(OR(C40="Smelter not listed",C40="Smelter not yet identified"),MATCH($B40&amp;$D40,'Smelter Look-up'!$J:$J,0),MATCH($B40&amp;$C40,'Smelter Look-up'!$J:$J,0)))</f>
        <v>178</v>
      </c>
      <c r="X40" s="210">
        <f t="shared" si="6"/>
        <v>0</v>
      </c>
      <c r="AB40" s="211" t="str">
        <f t="shared" si="7"/>
        <v>GoldLS MnM Inc.</v>
      </c>
    </row>
    <row r="41" spans="1:28" s="210" customFormat="1" ht="25.5">
      <c r="A41" s="165" t="s">
        <v>675</v>
      </c>
      <c r="B41" s="166" t="s">
        <v>1087</v>
      </c>
      <c r="C41" s="170" t="s">
        <v>870</v>
      </c>
      <c r="D41" s="213"/>
      <c r="E41" s="166" t="s">
        <v>2323</v>
      </c>
      <c r="F41" s="166" t="s">
        <v>675</v>
      </c>
      <c r="G41" s="166" t="s">
        <v>12764</v>
      </c>
      <c r="H41" s="167"/>
      <c r="I41" s="168" t="s">
        <v>1559</v>
      </c>
      <c r="J41" s="168" t="s">
        <v>1560</v>
      </c>
      <c r="K41" s="207"/>
      <c r="L41" s="207"/>
      <c r="M41" s="207"/>
      <c r="N41" s="207"/>
      <c r="O41" s="207"/>
      <c r="P41" s="169"/>
      <c r="Q41" s="208"/>
      <c r="R41" s="166" t="str">
        <f ca="1">IF(ISERROR($V41),"",OFFSET('Smelter Look-up'!$C$4,$V41-4,0)&amp;"")</f>
        <v>Materion</v>
      </c>
      <c r="S41" s="165" t="str">
        <f t="shared" ca="1" si="5"/>
        <v>US</v>
      </c>
      <c r="T41" s="165" t="str">
        <f ca="1">IF(B41="","",IF(ISERROR(MATCH($J41,SorP!$B$1:$B$6261,0)),"",INDIRECT("'SorP'!$A$"&amp;MATCH($S41&amp;$J41,SorP!C:C,0))))</f>
        <v>US-NY</v>
      </c>
      <c r="U41" s="185"/>
      <c r="V41" s="209">
        <f>IF(C41="",NA(),IF(OR(C41="Smelter not listed",C41="Smelter not yet identified"),MATCH($B41&amp;$D41,'Smelter Look-up'!$J:$J,0),MATCH($B41&amp;$C41,'Smelter Look-up'!$J:$J,0)))</f>
        <v>184</v>
      </c>
      <c r="X41" s="210">
        <f t="shared" si="6"/>
        <v>0</v>
      </c>
      <c r="AB41" s="211" t="str">
        <f t="shared" si="7"/>
        <v>GoldMaterion</v>
      </c>
    </row>
    <row r="42" spans="1:28" s="210" customFormat="1" ht="63.75">
      <c r="A42" s="165" t="s">
        <v>676</v>
      </c>
      <c r="B42" s="166" t="s">
        <v>1087</v>
      </c>
      <c r="C42" s="170" t="s">
        <v>53</v>
      </c>
      <c r="D42" s="213" t="s">
        <v>53</v>
      </c>
      <c r="E42" s="166" t="s">
        <v>1066</v>
      </c>
      <c r="F42" s="166" t="s">
        <v>676</v>
      </c>
      <c r="G42" s="166" t="s">
        <v>12764</v>
      </c>
      <c r="H42" s="167" t="s">
        <v>15907</v>
      </c>
      <c r="I42" s="168" t="s">
        <v>15908</v>
      </c>
      <c r="J42" s="168" t="s">
        <v>1532</v>
      </c>
      <c r="K42" s="207" t="s">
        <v>15909</v>
      </c>
      <c r="L42" s="207" t="s">
        <v>15893</v>
      </c>
      <c r="M42" s="207"/>
      <c r="N42" s="207" t="s">
        <v>15894</v>
      </c>
      <c r="O42" s="207" t="s">
        <v>15894</v>
      </c>
      <c r="P42" s="169" t="s">
        <v>473</v>
      </c>
      <c r="Q42" s="208" t="s">
        <v>15895</v>
      </c>
      <c r="R42" s="166" t="str">
        <f ca="1">IF(ISERROR($V42),"",OFFSET('Smelter Look-up'!$C$4,$V42-4,0)&amp;"")</f>
        <v>Matsuda Sangyo Co., Ltd.</v>
      </c>
      <c r="S42" s="165" t="str">
        <f t="shared" ca="1" si="5"/>
        <v>JP</v>
      </c>
      <c r="T42" s="165" t="str">
        <f ca="1">IF(B42="","",IF(ISERROR(MATCH($J42,SorP!$B$1:$B$6261,0)),"",INDIRECT("'SorP'!$A$"&amp;MATCH($S42&amp;$J42,SorP!C:C,0))))</f>
        <v>JP-11</v>
      </c>
      <c r="U42" s="185"/>
      <c r="V42" s="209">
        <f>IF(C42="",NA(),IF(OR(C42="Smelter not listed",C42="Smelter not yet identified"),MATCH($B42&amp;$D42,'Smelter Look-up'!$J:$J,0),MATCH($B42&amp;$C42,'Smelter Look-up'!$J:$J,0)))</f>
        <v>185</v>
      </c>
      <c r="X42" s="210">
        <f t="shared" si="6"/>
        <v>0</v>
      </c>
      <c r="AB42" s="211" t="str">
        <f t="shared" si="7"/>
        <v>GoldMatsuda Sangyo Co., Ltd.</v>
      </c>
    </row>
    <row r="43" spans="1:28" s="210" customFormat="1" ht="76.5">
      <c r="A43" s="165" t="s">
        <v>1562</v>
      </c>
      <c r="B43" s="166" t="s">
        <v>1087</v>
      </c>
      <c r="C43" s="170" t="s">
        <v>1561</v>
      </c>
      <c r="D43" s="213"/>
      <c r="E43" s="166" t="s">
        <v>1058</v>
      </c>
      <c r="F43" s="166" t="s">
        <v>1562</v>
      </c>
      <c r="G43" s="166" t="s">
        <v>12764</v>
      </c>
      <c r="H43" s="167">
        <v>0</v>
      </c>
      <c r="I43" s="168" t="s">
        <v>2402</v>
      </c>
      <c r="J43" s="168" t="s">
        <v>13130</v>
      </c>
      <c r="K43" s="207"/>
      <c r="L43" s="207"/>
      <c r="M43" s="207"/>
      <c r="N43" s="207"/>
      <c r="O43" s="207"/>
      <c r="P43" s="169"/>
      <c r="Q43" s="208"/>
      <c r="R43" s="166" t="str">
        <f ca="1">IF(ISERROR($V43),"",OFFSET('Smelter Look-up'!$C$4,$V43-4,0)&amp;"")</f>
        <v>Metalor Technologies (Suzhou) Ltd.</v>
      </c>
      <c r="S43" s="165" t="str">
        <f t="shared" ca="1" si="5"/>
        <v>CN</v>
      </c>
      <c r="T43" s="165" t="str">
        <f ca="1">IF(B43="","",IF(ISERROR(MATCH($J43,SorP!$B$1:$B$6261,0)),"",INDIRECT("'SorP'!$A$"&amp;MATCH($S43&amp;$J43,SorP!C:C,0))))</f>
        <v>CN-JS</v>
      </c>
      <c r="U43" s="185"/>
      <c r="V43" s="209">
        <f>IF(C43="",NA(),IF(OR(C43="Smelter not listed",C43="Smelter not yet identified"),MATCH($B43&amp;$D43,'Smelter Look-up'!$J:$J,0),MATCH($B43&amp;$C43,'Smelter Look-up'!$J:$J,0)))</f>
        <v>195</v>
      </c>
      <c r="X43" s="210">
        <f t="shared" si="6"/>
        <v>0</v>
      </c>
      <c r="AB43" s="211" t="str">
        <f t="shared" si="7"/>
        <v>GoldMetalor Technologies (Suzhou) Ltd.</v>
      </c>
    </row>
    <row r="44" spans="1:28" s="210" customFormat="1" ht="89.25">
      <c r="A44" s="165" t="s">
        <v>677</v>
      </c>
      <c r="B44" s="166" t="s">
        <v>1087</v>
      </c>
      <c r="C44" s="170" t="s">
        <v>2058</v>
      </c>
      <c r="D44" s="213"/>
      <c r="E44" s="166" t="s">
        <v>1058</v>
      </c>
      <c r="F44" s="166" t="s">
        <v>677</v>
      </c>
      <c r="G44" s="166" t="s">
        <v>12764</v>
      </c>
      <c r="H44" s="167">
        <v>0</v>
      </c>
      <c r="I44" s="168" t="s">
        <v>15910</v>
      </c>
      <c r="J44" s="168" t="s">
        <v>15158</v>
      </c>
      <c r="K44" s="207"/>
      <c r="L44" s="207"/>
      <c r="M44" s="207"/>
      <c r="N44" s="207"/>
      <c r="O44" s="207"/>
      <c r="P44" s="169"/>
      <c r="Q44" s="208"/>
      <c r="R44" s="166" t="str">
        <f ca="1">IF(ISERROR($V44),"",OFFSET('Smelter Look-up'!$C$4,$V44-4,0)&amp;"")</f>
        <v>Metalor Technologies (Hong Kong) Ltd.</v>
      </c>
      <c r="S44" s="165" t="str">
        <f t="shared" ca="1" si="5"/>
        <v>CN</v>
      </c>
      <c r="T44" s="165" t="str">
        <f ca="1">IF(B44="","",IF(ISERROR(MATCH($J44,SorP!$B$1:$B$6261,0)),"",INDIRECT("'SorP'!$A$"&amp;MATCH($S44&amp;$J44,SorP!C:C,0))))</f>
        <v/>
      </c>
      <c r="U44" s="185"/>
      <c r="V44" s="209">
        <f>IF(C44="",NA(),IF(OR(C44="Smelter not listed",C44="Smelter not yet identified"),MATCH($B44&amp;$D44,'Smelter Look-up'!$J:$J,0),MATCH($B44&amp;$C44,'Smelter Look-up'!$J:$J,0)))</f>
        <v>193</v>
      </c>
      <c r="X44" s="210">
        <f t="shared" si="6"/>
        <v>0</v>
      </c>
      <c r="AB44" s="211" t="str">
        <f t="shared" si="7"/>
        <v>GoldMetalor Technologies (Hong Kong) Ltd.</v>
      </c>
    </row>
    <row r="45" spans="1:28" s="210" customFormat="1" ht="102">
      <c r="A45" s="165" t="s">
        <v>678</v>
      </c>
      <c r="B45" s="166" t="s">
        <v>1087</v>
      </c>
      <c r="C45" s="170" t="s">
        <v>2059</v>
      </c>
      <c r="D45" s="213"/>
      <c r="E45" s="166" t="s">
        <v>846</v>
      </c>
      <c r="F45" s="166" t="s">
        <v>678</v>
      </c>
      <c r="G45" s="166" t="s">
        <v>12764</v>
      </c>
      <c r="H45" s="167">
        <v>0</v>
      </c>
      <c r="I45" s="168" t="s">
        <v>12274</v>
      </c>
      <c r="J45" s="168" t="s">
        <v>9870</v>
      </c>
      <c r="K45" s="207"/>
      <c r="L45" s="207"/>
      <c r="M45" s="207"/>
      <c r="N45" s="207"/>
      <c r="O45" s="207"/>
      <c r="P45" s="169"/>
      <c r="Q45" s="208"/>
      <c r="R45" s="166" t="str">
        <f ca="1">IF(ISERROR($V45),"",OFFSET('Smelter Look-up'!$C$4,$V45-4,0)&amp;"")</f>
        <v>Metalor Technologies (Singapore) Pte., Ltd.</v>
      </c>
      <c r="S45" s="165" t="str">
        <f t="shared" ca="1" si="5"/>
        <v>SG</v>
      </c>
      <c r="T45" s="165" t="str">
        <f ca="1">IF(B45="","",IF(ISERROR(MATCH($J45,SorP!$B$1:$B$6261,0)),"",INDIRECT("'SorP'!$A$"&amp;MATCH($S45&amp;$J45,SorP!C:C,0))))</f>
        <v>SG-05</v>
      </c>
      <c r="U45" s="185"/>
      <c r="V45" s="209">
        <f>IF(C45="",NA(),IF(OR(C45="Smelter not listed",C45="Smelter not yet identified"),MATCH($B45&amp;$D45,'Smelter Look-up'!$J:$J,0),MATCH($B45&amp;$C45,'Smelter Look-up'!$J:$J,0)))</f>
        <v>194</v>
      </c>
      <c r="X45" s="210">
        <f t="shared" si="6"/>
        <v>0</v>
      </c>
      <c r="AB45" s="211" t="str">
        <f t="shared" si="7"/>
        <v>GoldMetalor Technologies (Singapore) Pte., Ltd.</v>
      </c>
    </row>
    <row r="46" spans="1:28" s="210" customFormat="1" ht="63.75">
      <c r="A46" s="165" t="s">
        <v>679</v>
      </c>
      <c r="B46" s="166" t="s">
        <v>1087</v>
      </c>
      <c r="C46" s="170" t="s">
        <v>2201</v>
      </c>
      <c r="D46" s="213"/>
      <c r="E46" s="166" t="s">
        <v>1056</v>
      </c>
      <c r="F46" s="166" t="s">
        <v>679</v>
      </c>
      <c r="G46" s="166" t="s">
        <v>12764</v>
      </c>
      <c r="H46" s="167">
        <v>0</v>
      </c>
      <c r="I46" s="168" t="s">
        <v>1563</v>
      </c>
      <c r="J46" s="168" t="s">
        <v>1564</v>
      </c>
      <c r="K46" s="207"/>
      <c r="L46" s="207"/>
      <c r="M46" s="207"/>
      <c r="N46" s="207"/>
      <c r="O46" s="207"/>
      <c r="P46" s="169"/>
      <c r="Q46" s="208"/>
      <c r="R46" s="166" t="str">
        <f ca="1">IF(ISERROR($V46),"",OFFSET('Smelter Look-up'!$C$4,$V46-4,0)&amp;"")</f>
        <v>Metalor Technologies S.A.</v>
      </c>
      <c r="S46" s="165" t="str">
        <f t="shared" ca="1" si="5"/>
        <v>CH</v>
      </c>
      <c r="T46" s="165" t="str">
        <f ca="1">IF(B46="","",IF(ISERROR(MATCH($J46,SorP!$B$1:$B$6261,0)),"",INDIRECT("'SorP'!$A$"&amp;MATCH($S46&amp;$J46,SorP!C:C,0))))</f>
        <v>CH-NE</v>
      </c>
      <c r="U46" s="185"/>
      <c r="V46" s="209">
        <f>IF(C46="",NA(),IF(OR(C46="Smelter not listed",C46="Smelter not yet identified"),MATCH($B46&amp;$D46,'Smelter Look-up'!$J:$J,0),MATCH($B46&amp;$C46,'Smelter Look-up'!$J:$J,0)))</f>
        <v>196</v>
      </c>
      <c r="X46" s="210">
        <f t="shared" si="6"/>
        <v>0</v>
      </c>
      <c r="AB46" s="211" t="str">
        <f t="shared" si="7"/>
        <v>GoldMetalor Technologies S.A.</v>
      </c>
    </row>
    <row r="47" spans="1:28" s="210" customFormat="1" ht="63.75">
      <c r="A47" s="165" t="s">
        <v>680</v>
      </c>
      <c r="B47" s="166" t="s">
        <v>1087</v>
      </c>
      <c r="C47" s="170" t="s">
        <v>1183</v>
      </c>
      <c r="D47" s="213"/>
      <c r="E47" s="166" t="s">
        <v>2323</v>
      </c>
      <c r="F47" s="166" t="s">
        <v>680</v>
      </c>
      <c r="G47" s="166" t="s">
        <v>12764</v>
      </c>
      <c r="H47" s="167"/>
      <c r="I47" s="168" t="s">
        <v>1565</v>
      </c>
      <c r="J47" s="168" t="s">
        <v>1566</v>
      </c>
      <c r="K47" s="207"/>
      <c r="L47" s="207"/>
      <c r="M47" s="207"/>
      <c r="N47" s="207"/>
      <c r="O47" s="207"/>
      <c r="P47" s="169"/>
      <c r="Q47" s="208"/>
      <c r="R47" s="166" t="str">
        <f ca="1">IF(ISERROR($V47),"",OFFSET('Smelter Look-up'!$C$4,$V47-4,0)&amp;"")</f>
        <v>Metalor USA Refining Corporation</v>
      </c>
      <c r="S47" s="165" t="str">
        <f t="shared" ca="1" si="5"/>
        <v>US</v>
      </c>
      <c r="T47" s="165" t="str">
        <f ca="1">IF(B47="","",IF(ISERROR(MATCH($J47,SorP!$B$1:$B$6261,0)),"",INDIRECT("'SorP'!$A$"&amp;MATCH($S47&amp;$J47,SorP!C:C,0))))</f>
        <v>US-MA</v>
      </c>
      <c r="U47" s="185"/>
      <c r="V47" s="209">
        <f>IF(C47="",NA(),IF(OR(C47="Smelter not listed",C47="Smelter not yet identified"),MATCH($B47&amp;$D47,'Smelter Look-up'!$J:$J,0),MATCH($B47&amp;$C47,'Smelter Look-up'!$J:$J,0)))</f>
        <v>197</v>
      </c>
      <c r="X47" s="210">
        <f t="shared" si="6"/>
        <v>0</v>
      </c>
      <c r="AB47" s="211" t="str">
        <f t="shared" si="7"/>
        <v>GoldMetalor USA Refining Corporation</v>
      </c>
    </row>
    <row r="48" spans="1:28" s="210" customFormat="1" ht="89.25">
      <c r="A48" s="165" t="s">
        <v>681</v>
      </c>
      <c r="B48" s="166" t="s">
        <v>1087</v>
      </c>
      <c r="C48" s="170" t="s">
        <v>11980</v>
      </c>
      <c r="D48" s="213"/>
      <c r="E48" s="166" t="s">
        <v>1071</v>
      </c>
      <c r="F48" s="166" t="s">
        <v>681</v>
      </c>
      <c r="G48" s="166" t="s">
        <v>12764</v>
      </c>
      <c r="H48" s="167">
        <v>0</v>
      </c>
      <c r="I48" s="168" t="s">
        <v>1567</v>
      </c>
      <c r="J48" s="168" t="s">
        <v>12427</v>
      </c>
      <c r="K48" s="207"/>
      <c r="L48" s="207"/>
      <c r="M48" s="207"/>
      <c r="N48" s="207"/>
      <c r="O48" s="207"/>
      <c r="P48" s="169"/>
      <c r="Q48" s="208"/>
      <c r="R48" s="166" t="str">
        <f ca="1">IF(ISERROR($V48),"",OFFSET('Smelter Look-up'!$C$4,$V48-4,0)&amp;"")</f>
        <v>Metalurgica Met-Mex Penoles S.A. De C.V.</v>
      </c>
      <c r="S48" s="165" t="str">
        <f t="shared" ca="1" si="5"/>
        <v>MX</v>
      </c>
      <c r="T48" s="165" t="str">
        <f ca="1">IF(B48="","",IF(ISERROR(MATCH($J48,SorP!$B$1:$B$6261,0)),"",INDIRECT("'SorP'!$A$"&amp;MATCH($S48&amp;$J48,SorP!C:C,0))))</f>
        <v>MX-COA</v>
      </c>
      <c r="U48" s="185"/>
      <c r="V48" s="209">
        <f>IF(C48="",NA(),IF(OR(C48="Smelter not listed",C48="Smelter not yet identified"),MATCH($B48&amp;$D48,'Smelter Look-up'!$J:$J,0),MATCH($B48&amp;$C48,'Smelter Look-up'!$J:$J,0)))</f>
        <v>198</v>
      </c>
      <c r="X48" s="210">
        <f t="shared" si="6"/>
        <v>0</v>
      </c>
      <c r="AB48" s="211" t="str">
        <f t="shared" si="7"/>
        <v>GoldMetalurgica Met-Mex Penoles S.A. De C.V.</v>
      </c>
    </row>
    <row r="49" spans="1:28" s="210" customFormat="1" ht="76.5">
      <c r="A49" s="165" t="s">
        <v>682</v>
      </c>
      <c r="B49" s="166" t="s">
        <v>1087</v>
      </c>
      <c r="C49" s="170" t="s">
        <v>1120</v>
      </c>
      <c r="D49" s="213" t="s">
        <v>1120</v>
      </c>
      <c r="E49" s="166" t="s">
        <v>1066</v>
      </c>
      <c r="F49" s="166" t="s">
        <v>682</v>
      </c>
      <c r="G49" s="166" t="s">
        <v>12764</v>
      </c>
      <c r="H49" s="167" t="s">
        <v>15911</v>
      </c>
      <c r="I49" s="168" t="s">
        <v>1497</v>
      </c>
      <c r="J49" s="168" t="s">
        <v>1497</v>
      </c>
      <c r="K49" s="207" t="s">
        <v>15912</v>
      </c>
      <c r="L49" s="207" t="s">
        <v>15893</v>
      </c>
      <c r="M49" s="207"/>
      <c r="N49" s="207" t="s">
        <v>15913</v>
      </c>
      <c r="O49" s="207" t="s">
        <v>15914</v>
      </c>
      <c r="P49" s="169" t="s">
        <v>474</v>
      </c>
      <c r="Q49" s="208" t="s">
        <v>15895</v>
      </c>
      <c r="R49" s="166" t="str">
        <f ca="1">IF(ISERROR($V49),"",OFFSET('Smelter Look-up'!$C$4,$V49-4,0)&amp;"")</f>
        <v>Mitsubishi Materials Corporation</v>
      </c>
      <c r="S49" s="165" t="str">
        <f t="shared" ca="1" si="5"/>
        <v>JP</v>
      </c>
      <c r="T49" s="165" t="str">
        <f ca="1">IF(B49="","",IF(ISERROR(MATCH($J49,SorP!$B$1:$B$6261,0)),"",INDIRECT("'SorP'!$A$"&amp;MATCH($S49&amp;$J49,SorP!C:C,0))))</f>
        <v>JP-13</v>
      </c>
      <c r="U49" s="185"/>
      <c r="V49" s="209">
        <f>IF(C49="",NA(),IF(OR(C49="Smelter not listed",C49="Smelter not yet identified"),MATCH($B49&amp;$D49,'Smelter Look-up'!$J:$J,0),MATCH($B49&amp;$C49,'Smelter Look-up'!$J:$J,0)))</f>
        <v>204</v>
      </c>
      <c r="X49" s="210">
        <f t="shared" si="6"/>
        <v>0</v>
      </c>
      <c r="AB49" s="211" t="str">
        <f t="shared" si="7"/>
        <v>GoldMitsubishi Materials Corporation</v>
      </c>
    </row>
    <row r="50" spans="1:28" s="210" customFormat="1" ht="89.25">
      <c r="A50" s="165" t="s">
        <v>683</v>
      </c>
      <c r="B50" s="166" t="s">
        <v>1087</v>
      </c>
      <c r="C50" s="170" t="s">
        <v>1184</v>
      </c>
      <c r="D50" s="213"/>
      <c r="E50" s="166" t="s">
        <v>1066</v>
      </c>
      <c r="F50" s="166" t="s">
        <v>683</v>
      </c>
      <c r="G50" s="166" t="s">
        <v>12764</v>
      </c>
      <c r="H50" s="167" t="s">
        <v>15915</v>
      </c>
      <c r="I50" s="168" t="s">
        <v>1569</v>
      </c>
      <c r="J50" s="168" t="s">
        <v>1568</v>
      </c>
      <c r="K50" s="207" t="s">
        <v>15916</v>
      </c>
      <c r="L50" s="207" t="s">
        <v>15893</v>
      </c>
      <c r="M50" s="207"/>
      <c r="N50" s="207" t="s">
        <v>15904</v>
      </c>
      <c r="O50" s="207" t="s">
        <v>15905</v>
      </c>
      <c r="P50" s="169" t="s">
        <v>474</v>
      </c>
      <c r="Q50" s="208" t="s">
        <v>15895</v>
      </c>
      <c r="R50" s="166" t="str">
        <f ca="1">IF(ISERROR($V50),"",OFFSET('Smelter Look-up'!$C$4,$V50-4,0)&amp;"")</f>
        <v>Mitsui Mining and Smelting Co., Ltd.</v>
      </c>
      <c r="S50" s="165" t="str">
        <f t="shared" ca="1" si="5"/>
        <v>JP</v>
      </c>
      <c r="T50" s="165" t="str">
        <f ca="1">IF(B50="","",IF(ISERROR(MATCH($J50,SorP!$B$1:$B$6261,0)),"",INDIRECT("'SorP'!$A$"&amp;MATCH($S50&amp;$J50,SorP!C:C,0))))</f>
        <v>JP-34</v>
      </c>
      <c r="U50" s="185"/>
      <c r="V50" s="209">
        <f>IF(C50="",NA(),IF(OR(C50="Smelter not listed",C50="Smelter not yet identified"),MATCH($B50&amp;$D50,'Smelter Look-up'!$J:$J,0),MATCH($B50&amp;$C50,'Smelter Look-up'!$J:$J,0)))</f>
        <v>206</v>
      </c>
      <c r="X50" s="210">
        <f t="shared" si="6"/>
        <v>0</v>
      </c>
      <c r="AB50" s="211" t="str">
        <f t="shared" si="7"/>
        <v>GoldMitsui Mining and Smelting Co., Ltd.</v>
      </c>
    </row>
    <row r="51" spans="1:28" s="210" customFormat="1" ht="76.5">
      <c r="A51" s="165" t="s">
        <v>685</v>
      </c>
      <c r="B51" s="166" t="s">
        <v>1087</v>
      </c>
      <c r="C51" s="170" t="s">
        <v>11982</v>
      </c>
      <c r="D51" s="213"/>
      <c r="E51" s="166" t="s">
        <v>849</v>
      </c>
      <c r="F51" s="166" t="s">
        <v>685</v>
      </c>
      <c r="G51" s="166" t="s">
        <v>12764</v>
      </c>
      <c r="H51" s="167">
        <v>0</v>
      </c>
      <c r="I51" s="168" t="s">
        <v>15917</v>
      </c>
      <c r="J51" s="168" t="s">
        <v>10828</v>
      </c>
      <c r="K51" s="207"/>
      <c r="L51" s="207"/>
      <c r="M51" s="207"/>
      <c r="N51" s="207"/>
      <c r="O51" s="207"/>
      <c r="P51" s="169"/>
      <c r="Q51" s="208"/>
      <c r="R51" s="166" t="str">
        <f ca="1">IF(ISERROR($V51),"",OFFSET('Smelter Look-up'!$C$4,$V51-4,0)&amp;"")</f>
        <v>Nadir Metal Rafineri San. Ve Tic. A.S.</v>
      </c>
      <c r="S51" s="165" t="str">
        <f t="shared" ca="1" si="5"/>
        <v>Unknown</v>
      </c>
      <c r="T51" s="165" t="e">
        <f ca="1">IF(B51="","",IF(ISERROR(MATCH($J51,SorP!$B$1:$B$6261,0)),"",INDIRECT("'SorP'!$A$"&amp;MATCH($S51&amp;$J51,SorP!C:C,0))))</f>
        <v>#N/A</v>
      </c>
      <c r="U51" s="185"/>
      <c r="V51" s="209">
        <f>IF(C51="",NA(),IF(OR(C51="Smelter not listed",C51="Smelter not yet identified"),MATCH($B51&amp;$D51,'Smelter Look-up'!$J:$J,0),MATCH($B51&amp;$C51,'Smelter Look-up'!$J:$J,0)))</f>
        <v>212</v>
      </c>
      <c r="X51" s="210">
        <f t="shared" si="6"/>
        <v>0</v>
      </c>
      <c r="AB51" s="211" t="str">
        <f t="shared" si="7"/>
        <v>GoldNadir Metal Rafineri San. Ve Tic. A.S.</v>
      </c>
    </row>
    <row r="52" spans="1:28" s="210" customFormat="1" ht="102">
      <c r="A52" s="165" t="s">
        <v>686</v>
      </c>
      <c r="B52" s="166" t="s">
        <v>1087</v>
      </c>
      <c r="C52" s="170" t="s">
        <v>1185</v>
      </c>
      <c r="D52" s="213"/>
      <c r="E52" s="166" t="s">
        <v>851</v>
      </c>
      <c r="F52" s="166" t="s">
        <v>686</v>
      </c>
      <c r="G52" s="166" t="s">
        <v>12764</v>
      </c>
      <c r="H52" s="167">
        <v>0</v>
      </c>
      <c r="I52" s="168" t="s">
        <v>1572</v>
      </c>
      <c r="J52" s="168" t="s">
        <v>11578</v>
      </c>
      <c r="K52" s="207"/>
      <c r="L52" s="207"/>
      <c r="M52" s="207"/>
      <c r="N52" s="207"/>
      <c r="O52" s="207"/>
      <c r="P52" s="169"/>
      <c r="Q52" s="208"/>
      <c r="R52" s="166" t="str">
        <f ca="1">IF(ISERROR($V52),"",OFFSET('Smelter Look-up'!$C$4,$V52-4,0)&amp;"")</f>
        <v>Navoi Mining and Metallurgical Combinat</v>
      </c>
      <c r="S52" s="165" t="str">
        <f t="shared" ca="1" si="5"/>
        <v>UZ</v>
      </c>
      <c r="T52" s="165" t="str">
        <f ca="1">IF(B52="","",IF(ISERROR(MATCH($J52,SorP!$B$1:$B$6261,0)),"",INDIRECT("'SorP'!$A$"&amp;MATCH($S52&amp;$J52,SorP!C:C,0))))</f>
        <v>UZ-NW</v>
      </c>
      <c r="U52" s="185"/>
      <c r="V52" s="209">
        <f>IF(C52="",NA(),IF(OR(C52="Smelter not listed",C52="Smelter not yet identified"),MATCH($B52&amp;$D52,'Smelter Look-up'!$J:$J,0),MATCH($B52&amp;$C52,'Smelter Look-up'!$J:$J,0)))</f>
        <v>215</v>
      </c>
      <c r="X52" s="210">
        <f t="shared" si="6"/>
        <v>0</v>
      </c>
      <c r="AB52" s="211" t="str">
        <f t="shared" si="7"/>
        <v>GoldNavoi Mining and Metallurgical Combinat</v>
      </c>
    </row>
    <row r="53" spans="1:28" s="210" customFormat="1" ht="63.75">
      <c r="A53" s="165" t="s">
        <v>687</v>
      </c>
      <c r="B53" s="166" t="s">
        <v>1087</v>
      </c>
      <c r="C53" s="170" t="s">
        <v>2062</v>
      </c>
      <c r="D53" s="213" t="s">
        <v>2062</v>
      </c>
      <c r="E53" s="166" t="s">
        <v>1066</v>
      </c>
      <c r="F53" s="166" t="s">
        <v>687</v>
      </c>
      <c r="G53" s="166" t="s">
        <v>12764</v>
      </c>
      <c r="H53" s="167" t="s">
        <v>15918</v>
      </c>
      <c r="I53" s="168" t="s">
        <v>1573</v>
      </c>
      <c r="J53" s="168" t="s">
        <v>1574</v>
      </c>
      <c r="K53" s="207" t="s">
        <v>15919</v>
      </c>
      <c r="L53" s="207" t="s">
        <v>15893</v>
      </c>
      <c r="M53" s="207"/>
      <c r="N53" s="207" t="s">
        <v>15894</v>
      </c>
      <c r="O53" s="207" t="s">
        <v>15894</v>
      </c>
      <c r="P53" s="169" t="s">
        <v>473</v>
      </c>
      <c r="Q53" s="208" t="s">
        <v>15895</v>
      </c>
      <c r="R53" s="166" t="str">
        <f ca="1">IF(ISERROR($V53),"",OFFSET('Smelter Look-up'!$C$4,$V53-4,0)&amp;"")</f>
        <v>Nihon Material Co., Ltd.</v>
      </c>
      <c r="S53" s="165" t="str">
        <f t="shared" ca="1" si="5"/>
        <v>JP</v>
      </c>
      <c r="T53" s="165" t="str">
        <f ca="1">IF(B53="","",IF(ISERROR(MATCH($J53,SorP!$B$1:$B$6261,0)),"",INDIRECT("'SorP'!$A$"&amp;MATCH($S53&amp;$J53,SorP!C:C,0))))</f>
        <v>JP-12</v>
      </c>
      <c r="U53" s="185"/>
      <c r="V53" s="209">
        <f>IF(C53="",NA(),IF(OR(C53="Smelter not listed",C53="Smelter not yet identified"),MATCH($B53&amp;$D53,'Smelter Look-up'!$J:$J,0),MATCH($B53&amp;$C53,'Smelter Look-up'!$J:$J,0)))</f>
        <v>217</v>
      </c>
      <c r="X53" s="210">
        <f t="shared" si="6"/>
        <v>0</v>
      </c>
      <c r="AB53" s="211" t="str">
        <f t="shared" si="7"/>
        <v>GoldNihon Material Co., Ltd.</v>
      </c>
    </row>
    <row r="54" spans="1:28" s="210" customFormat="1" ht="89.25">
      <c r="A54" s="165" t="s">
        <v>688</v>
      </c>
      <c r="B54" s="166" t="s">
        <v>1087</v>
      </c>
      <c r="C54" s="170" t="s">
        <v>2063</v>
      </c>
      <c r="D54" s="213"/>
      <c r="E54" s="166" t="s">
        <v>1066</v>
      </c>
      <c r="F54" s="166" t="s">
        <v>688</v>
      </c>
      <c r="G54" s="166" t="s">
        <v>12764</v>
      </c>
      <c r="H54" s="167">
        <v>0</v>
      </c>
      <c r="I54" s="168" t="s">
        <v>1576</v>
      </c>
      <c r="J54" s="168" t="s">
        <v>1577</v>
      </c>
      <c r="K54" s="207"/>
      <c r="L54" s="207"/>
      <c r="M54" s="207"/>
      <c r="N54" s="207"/>
      <c r="O54" s="207"/>
      <c r="P54" s="169"/>
      <c r="Q54" s="208"/>
      <c r="R54" s="166" t="str">
        <f ca="1">IF(ISERROR($V54),"",OFFSET('Smelter Look-up'!$C$4,$V54-4,0)&amp;"")</f>
        <v>Ohura Precious Metal Industry Co., Ltd.</v>
      </c>
      <c r="S54" s="165" t="str">
        <f t="shared" ca="1" si="5"/>
        <v>JP</v>
      </c>
      <c r="T54" s="165" t="str">
        <f ca="1">IF(B54="","",IF(ISERROR(MATCH($J54,SorP!$B$1:$B$6261,0)),"",INDIRECT("'SorP'!$A$"&amp;MATCH($S54&amp;$J54,SorP!C:C,0))))</f>
        <v>JP-29</v>
      </c>
      <c r="U54" s="185"/>
      <c r="V54" s="209">
        <f>IF(C54="",NA(),IF(OR(C54="Smelter not listed",C54="Smelter not yet identified"),MATCH($B54&amp;$D54,'Smelter Look-up'!$J:$J,0),MATCH($B54&amp;$C54,'Smelter Look-up'!$J:$J,0)))</f>
        <v>224</v>
      </c>
      <c r="X54" s="210">
        <f t="shared" si="6"/>
        <v>0</v>
      </c>
      <c r="AB54" s="211" t="str">
        <f t="shared" si="7"/>
        <v>GoldOhura Precious Metal Industry Co., Ltd.</v>
      </c>
    </row>
    <row r="55" spans="1:28" s="210" customFormat="1" ht="25.5">
      <c r="A55" s="165" t="s">
        <v>690</v>
      </c>
      <c r="B55" s="166" t="s">
        <v>1087</v>
      </c>
      <c r="C55" s="170" t="s">
        <v>2209</v>
      </c>
      <c r="D55" s="213"/>
      <c r="E55" s="166" t="s">
        <v>1056</v>
      </c>
      <c r="F55" s="166" t="s">
        <v>690</v>
      </c>
      <c r="G55" s="166" t="s">
        <v>12764</v>
      </c>
      <c r="H55" s="167">
        <v>0</v>
      </c>
      <c r="I55" s="168" t="s">
        <v>15920</v>
      </c>
      <c r="J55" s="168" t="s">
        <v>1505</v>
      </c>
      <c r="K55" s="207"/>
      <c r="L55" s="207"/>
      <c r="M55" s="207"/>
      <c r="N55" s="207"/>
      <c r="O55" s="207"/>
      <c r="P55" s="169"/>
      <c r="Q55" s="208"/>
      <c r="R55" s="166" t="str">
        <f ca="1">IF(ISERROR($V55),"",OFFSET('Smelter Look-up'!$C$4,$V55-4,0)&amp;"")</f>
        <v>MKS PAMP SA</v>
      </c>
      <c r="S55" s="165" t="str">
        <f t="shared" ca="1" si="5"/>
        <v>CH</v>
      </c>
      <c r="T55" s="165" t="str">
        <f ca="1">IF(B55="","",IF(ISERROR(MATCH($J55,SorP!$B$1:$B$6261,0)),"",INDIRECT("'SorP'!$A$"&amp;MATCH($S55&amp;$J55,SorP!C:C,0))))</f>
        <v>CH-TI</v>
      </c>
      <c r="U55" s="185"/>
      <c r="V55" s="209">
        <f>IF(C55="",NA(),IF(OR(C55="Smelter not listed",C55="Smelter not yet identified"),MATCH($B55&amp;$D55,'Smelter Look-up'!$J:$J,0),MATCH($B55&amp;$C55,'Smelter Look-up'!$J:$J,0)))</f>
        <v>228</v>
      </c>
      <c r="X55" s="210">
        <f t="shared" si="6"/>
        <v>0</v>
      </c>
      <c r="AB55" s="211" t="str">
        <f t="shared" si="7"/>
        <v>GoldPAMP S.A.</v>
      </c>
    </row>
    <row r="56" spans="1:28" s="210" customFormat="1" ht="76.5">
      <c r="A56" s="165" t="s">
        <v>693</v>
      </c>
      <c r="B56" s="166" t="s">
        <v>1087</v>
      </c>
      <c r="C56" s="170" t="s">
        <v>1186</v>
      </c>
      <c r="D56" s="213"/>
      <c r="E56" s="166" t="s">
        <v>1063</v>
      </c>
      <c r="F56" s="166" t="s">
        <v>693</v>
      </c>
      <c r="G56" s="166" t="s">
        <v>12764</v>
      </c>
      <c r="H56" s="167">
        <v>0</v>
      </c>
      <c r="I56" s="168" t="s">
        <v>1581</v>
      </c>
      <c r="J56" s="168" t="s">
        <v>5835</v>
      </c>
      <c r="K56" s="207"/>
      <c r="L56" s="207"/>
      <c r="M56" s="207"/>
      <c r="N56" s="207"/>
      <c r="O56" s="207"/>
      <c r="P56" s="169"/>
      <c r="Q56" s="208"/>
      <c r="R56" s="166" t="str">
        <f ca="1">IF(ISERROR($V56),"",OFFSET('Smelter Look-up'!$C$4,$V56-4,0)&amp;"")</f>
        <v>PT Aneka Tambang (Persero) Tbk</v>
      </c>
      <c r="S56" s="165" t="str">
        <f t="shared" ca="1" si="5"/>
        <v>ID</v>
      </c>
      <c r="T56" s="165" t="str">
        <f ca="1">IF(B56="","",IF(ISERROR(MATCH($J56,SorP!$B$1:$B$6261,0)),"",INDIRECT("'SorP'!$A$"&amp;MATCH($S56&amp;$J56,SorP!C:C,0))))</f>
        <v>ID-JK</v>
      </c>
      <c r="U56" s="185"/>
      <c r="V56" s="209">
        <f>IF(C56="",NA(),IF(OR(C56="Smelter not listed",C56="Smelter not yet identified"),MATCH($B56&amp;$D56,'Smelter Look-up'!$J:$J,0),MATCH($B56&amp;$C56,'Smelter Look-up'!$J:$J,0)))</f>
        <v>237</v>
      </c>
      <c r="X56" s="210">
        <f t="shared" si="6"/>
        <v>0</v>
      </c>
      <c r="AB56" s="211" t="str">
        <f t="shared" si="7"/>
        <v>GoldPT Aneka Tambang (Persero) Tbk</v>
      </c>
    </row>
    <row r="57" spans="1:28" s="210" customFormat="1" ht="38.25">
      <c r="A57" s="165" t="s">
        <v>694</v>
      </c>
      <c r="B57" s="166" t="s">
        <v>1087</v>
      </c>
      <c r="C57" s="170" t="s">
        <v>11983</v>
      </c>
      <c r="D57" s="213"/>
      <c r="E57" s="166" t="s">
        <v>1056</v>
      </c>
      <c r="F57" s="166" t="s">
        <v>694</v>
      </c>
      <c r="G57" s="166" t="s">
        <v>12764</v>
      </c>
      <c r="H57" s="167">
        <v>0</v>
      </c>
      <c r="I57" s="168" t="s">
        <v>1582</v>
      </c>
      <c r="J57" s="168" t="s">
        <v>1564</v>
      </c>
      <c r="K57" s="207"/>
      <c r="L57" s="207"/>
      <c r="M57" s="207"/>
      <c r="N57" s="207"/>
      <c r="O57" s="207"/>
      <c r="P57" s="169"/>
      <c r="Q57" s="208"/>
      <c r="R57" s="166" t="str">
        <f ca="1">IF(ISERROR($V57),"",OFFSET('Smelter Look-up'!$C$4,$V57-4,0)&amp;"")</f>
        <v>PX Precinox S.A.</v>
      </c>
      <c r="S57" s="165" t="str">
        <f t="shared" ca="1" si="5"/>
        <v>CH</v>
      </c>
      <c r="T57" s="165" t="str">
        <f ca="1">IF(B57="","",IF(ISERROR(MATCH($J57,SorP!$B$1:$B$6261,0)),"",INDIRECT("'SorP'!$A$"&amp;MATCH($S57&amp;$J57,SorP!C:C,0))))</f>
        <v>CH-NE</v>
      </c>
      <c r="U57" s="185"/>
      <c r="V57" s="209">
        <f>IF(C57="",NA(),IF(OR(C57="Smelter not listed",C57="Smelter not yet identified"),MATCH($B57&amp;$D57,'Smelter Look-up'!$J:$J,0),MATCH($B57&amp;$C57,'Smelter Look-up'!$J:$J,0)))</f>
        <v>238</v>
      </c>
      <c r="X57" s="210">
        <f t="shared" si="6"/>
        <v>0</v>
      </c>
      <c r="AB57" s="211" t="str">
        <f t="shared" si="7"/>
        <v>GoldPX Precinox S.A.</v>
      </c>
    </row>
    <row r="58" spans="1:28" s="210" customFormat="1" ht="63.75">
      <c r="A58" s="165" t="s">
        <v>695</v>
      </c>
      <c r="B58" s="166" t="s">
        <v>1087</v>
      </c>
      <c r="C58" s="170" t="s">
        <v>2065</v>
      </c>
      <c r="D58" s="213"/>
      <c r="E58" s="166" t="s">
        <v>853</v>
      </c>
      <c r="F58" s="166" t="s">
        <v>695</v>
      </c>
      <c r="G58" s="166" t="s">
        <v>12764</v>
      </c>
      <c r="H58" s="167">
        <v>0</v>
      </c>
      <c r="I58" s="168" t="s">
        <v>1583</v>
      </c>
      <c r="J58" s="168" t="s">
        <v>1584</v>
      </c>
      <c r="K58" s="207"/>
      <c r="L58" s="207"/>
      <c r="M58" s="207"/>
      <c r="N58" s="207"/>
      <c r="O58" s="207"/>
      <c r="P58" s="169"/>
      <c r="Q58" s="208"/>
      <c r="R58" s="166" t="str">
        <f ca="1">IF(ISERROR($V58),"",OFFSET('Smelter Look-up'!$C$4,$V58-4,0)&amp;"")</f>
        <v>Rand Refinery (Pty) Ltd.</v>
      </c>
      <c r="S58" s="165" t="str">
        <f t="shared" ca="1" si="5"/>
        <v>ZA</v>
      </c>
      <c r="T58" s="165" t="str">
        <f ca="1">IF(B58="","",IF(ISERROR(MATCH($J58,SorP!$B$1:$B$6261,0)),"",INDIRECT("'SorP'!$A$"&amp;MATCH($S58&amp;$J58,SorP!C:C,0))))</f>
        <v>ZA-GP</v>
      </c>
      <c r="U58" s="185"/>
      <c r="V58" s="209">
        <f>IF(C58="",NA(),IF(OR(C58="Smelter not listed",C58="Smelter not yet identified"),MATCH($B58&amp;$D58,'Smelter Look-up'!$J:$J,0),MATCH($B58&amp;$C58,'Smelter Look-up'!$J:$J,0)))</f>
        <v>241</v>
      </c>
      <c r="X58" s="210">
        <f t="shared" si="6"/>
        <v>0</v>
      </c>
      <c r="AB58" s="211" t="str">
        <f t="shared" si="7"/>
        <v>GoldRand Refinery (Pty) Ltd.</v>
      </c>
    </row>
    <row r="59" spans="1:28" s="210" customFormat="1" ht="51">
      <c r="A59" s="165" t="s">
        <v>696</v>
      </c>
      <c r="B59" s="166" t="s">
        <v>1087</v>
      </c>
      <c r="C59" s="170" t="s">
        <v>873</v>
      </c>
      <c r="D59" s="213"/>
      <c r="E59" s="166" t="s">
        <v>1055</v>
      </c>
      <c r="F59" s="166" t="s">
        <v>696</v>
      </c>
      <c r="G59" s="166" t="s">
        <v>12764</v>
      </c>
      <c r="H59" s="167"/>
      <c r="I59" s="168" t="s">
        <v>1585</v>
      </c>
      <c r="J59" s="168" t="s">
        <v>1549</v>
      </c>
      <c r="K59" s="207"/>
      <c r="L59" s="207"/>
      <c r="M59" s="207"/>
      <c r="N59" s="207"/>
      <c r="O59" s="207"/>
      <c r="P59" s="169"/>
      <c r="Q59" s="208"/>
      <c r="R59" s="166" t="str">
        <f ca="1">IF(ISERROR($V59),"",OFFSET('Smelter Look-up'!$C$4,$V59-4,0)&amp;"")</f>
        <v>Royal Canadian Mint</v>
      </c>
      <c r="S59" s="165" t="str">
        <f t="shared" ca="1" si="5"/>
        <v>CA</v>
      </c>
      <c r="T59" s="165" t="str">
        <f ca="1">IF(B59="","",IF(ISERROR(MATCH($J59,SorP!$B$1:$B$6261,0)),"",INDIRECT("'SorP'!$A$"&amp;MATCH($S59&amp;$J59,SorP!C:C,0))))</f>
        <v>CA-ON</v>
      </c>
      <c r="U59" s="185"/>
      <c r="V59" s="209">
        <f>IF(C59="",NA(),IF(OR(C59="Smelter not listed",C59="Smelter not yet identified"),MATCH($B59&amp;$D59,'Smelter Look-up'!$J:$J,0),MATCH($B59&amp;$C59,'Smelter Look-up'!$J:$J,0)))</f>
        <v>245</v>
      </c>
      <c r="X59" s="210">
        <f t="shared" si="6"/>
        <v>0</v>
      </c>
      <c r="AB59" s="211" t="str">
        <f t="shared" si="7"/>
        <v>GoldRoyal Canadian Mint</v>
      </c>
    </row>
    <row r="60" spans="1:28" s="210" customFormat="1" ht="51">
      <c r="A60" s="165" t="s">
        <v>696</v>
      </c>
      <c r="B60" s="166" t="s">
        <v>1087</v>
      </c>
      <c r="C60" s="170" t="s">
        <v>873</v>
      </c>
      <c r="D60" s="213"/>
      <c r="E60" s="166" t="s">
        <v>1055</v>
      </c>
      <c r="F60" s="166" t="s">
        <v>696</v>
      </c>
      <c r="G60" s="166" t="s">
        <v>12764</v>
      </c>
      <c r="H60" s="167">
        <v>0</v>
      </c>
      <c r="I60" s="168" t="s">
        <v>1585</v>
      </c>
      <c r="J60" s="168" t="s">
        <v>1549</v>
      </c>
      <c r="K60" s="207"/>
      <c r="L60" s="207"/>
      <c r="M60" s="207"/>
      <c r="N60" s="207"/>
      <c r="O60" s="207"/>
      <c r="P60" s="169"/>
      <c r="Q60" s="208"/>
      <c r="R60" s="166" t="str">
        <f ca="1">IF(ISERROR($V60),"",OFFSET('Smelter Look-up'!$C$4,$V60-4,0)&amp;"")</f>
        <v>Royal Canadian Mint</v>
      </c>
      <c r="S60" s="165" t="str">
        <f t="shared" ca="1" si="5"/>
        <v>CA</v>
      </c>
      <c r="T60" s="165" t="str">
        <f ca="1">IF(B60="","",IF(ISERROR(MATCH($J60,SorP!$B$1:$B$6261,0)),"",INDIRECT("'SorP'!$A$"&amp;MATCH($S60&amp;$J60,SorP!C:C,0))))</f>
        <v>CA-ON</v>
      </c>
      <c r="U60" s="185"/>
      <c r="V60" s="209">
        <f>IF(C60="",NA(),IF(OR(C60="Smelter not listed",C60="Smelter not yet identified"),MATCH($B60&amp;$D60,'Smelter Look-up'!$J:$J,0),MATCH($B60&amp;$C60,'Smelter Look-up'!$J:$J,0)))</f>
        <v>245</v>
      </c>
      <c r="X60" s="210">
        <f t="shared" si="6"/>
        <v>0</v>
      </c>
      <c r="AB60" s="211" t="str">
        <f t="shared" si="7"/>
        <v>GoldRoyal Canadian Mint</v>
      </c>
    </row>
    <row r="61" spans="1:28" s="210" customFormat="1" ht="63.75">
      <c r="A61" s="165" t="s">
        <v>699</v>
      </c>
      <c r="B61" s="166" t="s">
        <v>1087</v>
      </c>
      <c r="C61" s="170" t="s">
        <v>11984</v>
      </c>
      <c r="D61" s="213"/>
      <c r="E61" s="166" t="s">
        <v>1060</v>
      </c>
      <c r="F61" s="166" t="s">
        <v>699</v>
      </c>
      <c r="G61" s="166" t="s">
        <v>12764</v>
      </c>
      <c r="H61" s="167">
        <v>0</v>
      </c>
      <c r="I61" s="168" t="s">
        <v>1590</v>
      </c>
      <c r="J61" s="168" t="s">
        <v>4544</v>
      </c>
      <c r="K61" s="207"/>
      <c r="L61" s="207"/>
      <c r="M61" s="207"/>
      <c r="N61" s="207"/>
      <c r="O61" s="207"/>
      <c r="P61" s="169"/>
      <c r="Q61" s="208"/>
      <c r="R61" s="166" t="str">
        <f ca="1">IF(ISERROR($V61),"",OFFSET('Smelter Look-up'!$C$4,$V61-4,0)&amp;"")</f>
        <v>SEMPSA Joyeria Plateria S.A.</v>
      </c>
      <c r="S61" s="165" t="str">
        <f t="shared" ca="1" si="5"/>
        <v>ES</v>
      </c>
      <c r="T61" s="165" t="str">
        <f ca="1">IF(B61="","",IF(ISERROR(MATCH($J61,SorP!$B$1:$B$6261,0)),"",INDIRECT("'SorP'!$A$"&amp;MATCH($S61&amp;$J61,SorP!C:C,0))))</f>
        <v>ES-MD</v>
      </c>
      <c r="U61" s="185"/>
      <c r="V61" s="209">
        <f>IF(C61="",NA(),IF(OR(C61="Smelter not listed",C61="Smelter not yet identified"),MATCH($B61&amp;$D61,'Smelter Look-up'!$J:$J,0),MATCH($B61&amp;$C61,'Smelter Look-up'!$J:$J,0)))</f>
        <v>258</v>
      </c>
      <c r="X61" s="210">
        <f t="shared" si="6"/>
        <v>0</v>
      </c>
      <c r="AB61" s="211" t="str">
        <f t="shared" si="7"/>
        <v>GoldSEMPSA Joyeria Plateria S.A.</v>
      </c>
    </row>
    <row r="62" spans="1:28" s="210" customFormat="1" ht="102">
      <c r="A62" s="165" t="s">
        <v>700</v>
      </c>
      <c r="B62" s="166" t="s">
        <v>1087</v>
      </c>
      <c r="C62" s="170" t="s">
        <v>2067</v>
      </c>
      <c r="D62" s="213"/>
      <c r="E62" s="166" t="s">
        <v>1058</v>
      </c>
      <c r="F62" s="166" t="s">
        <v>700</v>
      </c>
      <c r="G62" s="166" t="s">
        <v>12764</v>
      </c>
      <c r="H62" s="167">
        <v>0</v>
      </c>
      <c r="I62" s="168" t="s">
        <v>1534</v>
      </c>
      <c r="J62" s="168" t="s">
        <v>13118</v>
      </c>
      <c r="K62" s="207"/>
      <c r="L62" s="207"/>
      <c r="M62" s="207"/>
      <c r="N62" s="207"/>
      <c r="O62" s="207"/>
      <c r="P62" s="169"/>
      <c r="Q62" s="208"/>
      <c r="R62" s="166" t="str">
        <f ca="1">IF(ISERROR($V62),"",OFFSET('Smelter Look-up'!$C$4,$V62-4,0)&amp;"")</f>
        <v>Shandong Zhaojin Gold &amp; Silver Refinery Co., Ltd.</v>
      </c>
      <c r="S62" s="165" t="str">
        <f t="shared" ca="1" si="5"/>
        <v>CN</v>
      </c>
      <c r="T62" s="165" t="str">
        <f ca="1">IF(B62="","",IF(ISERROR(MATCH($J62,SorP!$B$1:$B$6261,0)),"",INDIRECT("'SorP'!$A$"&amp;MATCH($S62&amp;$J62,SorP!C:C,0))))</f>
        <v>CN-SD</v>
      </c>
      <c r="U62" s="185"/>
      <c r="V62" s="209">
        <f>IF(C62="",NA(),IF(OR(C62="Smelter not listed",C62="Smelter not yet identified"),MATCH($B62&amp;$D62,'Smelter Look-up'!$J:$J,0),MATCH($B62&amp;$C62,'Smelter Look-up'!$J:$J,0)))</f>
        <v>269</v>
      </c>
      <c r="X62" s="210">
        <f t="shared" si="6"/>
        <v>0</v>
      </c>
      <c r="AB62" s="211" t="str">
        <f t="shared" si="7"/>
        <v>GoldShandong Zhaojin Gold &amp; Silver Refinery Co., Ltd.</v>
      </c>
    </row>
    <row r="63" spans="1:28" s="210" customFormat="1" ht="89.25">
      <c r="A63" s="165" t="s">
        <v>1345</v>
      </c>
      <c r="B63" s="166" t="s">
        <v>1087</v>
      </c>
      <c r="C63" s="170" t="s">
        <v>2068</v>
      </c>
      <c r="D63" s="213"/>
      <c r="E63" s="166" t="s">
        <v>1058</v>
      </c>
      <c r="F63" s="166" t="s">
        <v>1345</v>
      </c>
      <c r="G63" s="166" t="s">
        <v>12764</v>
      </c>
      <c r="H63" s="167">
        <v>0</v>
      </c>
      <c r="I63" s="168" t="s">
        <v>1598</v>
      </c>
      <c r="J63" s="168" t="s">
        <v>13124</v>
      </c>
      <c r="K63" s="207"/>
      <c r="L63" s="207"/>
      <c r="M63" s="207"/>
      <c r="N63" s="207"/>
      <c r="O63" s="207"/>
      <c r="P63" s="169"/>
      <c r="Q63" s="208"/>
      <c r="R63" s="166" t="str">
        <f ca="1">IF(ISERROR($V63),"",OFFSET('Smelter Look-up'!$C$4,$V63-4,0)&amp;"")</f>
        <v>Sichuan Tianze Precious Metals Co., Ltd.</v>
      </c>
      <c r="S63" s="165" t="str">
        <f t="shared" ca="1" si="5"/>
        <v>CN</v>
      </c>
      <c r="T63" s="165" t="str">
        <f ca="1">IF(B63="","",IF(ISERROR(MATCH($J63,SorP!$B$1:$B$6261,0)),"",INDIRECT("'SorP'!$A$"&amp;MATCH($S63&amp;$J63,SorP!C:C,0))))</f>
        <v>CN-SC</v>
      </c>
      <c r="U63" s="185"/>
      <c r="V63" s="209">
        <f>IF(C63="",NA(),IF(OR(C63="Smelter not listed",C63="Smelter not yet identified"),MATCH($B63&amp;$D63,'Smelter Look-up'!$J:$J,0),MATCH($B63&amp;$C63,'Smelter Look-up'!$J:$J,0)))</f>
        <v>277</v>
      </c>
      <c r="X63" s="210">
        <f t="shared" si="6"/>
        <v>0</v>
      </c>
      <c r="AB63" s="211" t="str">
        <f t="shared" si="7"/>
        <v>GoldSichuan Tianze Precious Metals Co., Ltd.</v>
      </c>
    </row>
    <row r="64" spans="1:28" s="210" customFormat="1" ht="102">
      <c r="A64" s="165" t="s">
        <v>702</v>
      </c>
      <c r="B64" s="166" t="s">
        <v>1087</v>
      </c>
      <c r="C64" s="170" t="s">
        <v>875</v>
      </c>
      <c r="D64" s="213" t="s">
        <v>875</v>
      </c>
      <c r="E64" s="166" t="s">
        <v>2322</v>
      </c>
      <c r="F64" s="166" t="s">
        <v>702</v>
      </c>
      <c r="G64" s="166" t="s">
        <v>12764</v>
      </c>
      <c r="H64" s="167"/>
      <c r="I64" s="168" t="s">
        <v>1600</v>
      </c>
      <c r="J64" s="168" t="s">
        <v>11071</v>
      </c>
      <c r="K64" s="207"/>
      <c r="L64" s="207"/>
      <c r="M64" s="207"/>
      <c r="N64" s="207"/>
      <c r="O64" s="207"/>
      <c r="P64" s="169"/>
      <c r="Q64" s="208"/>
      <c r="R64" s="166" t="str">
        <f ca="1">IF(ISERROR($V64),"",OFFSET('Smelter Look-up'!$C$4,$V64-4,0)&amp;"")</f>
        <v>Solar Applied Materials Technology Corp.</v>
      </c>
      <c r="S64" s="165" t="str">
        <f t="shared" ca="1" si="5"/>
        <v>TW</v>
      </c>
      <c r="T64" s="165" t="str">
        <f ca="1">IF(B64="","",IF(ISERROR(MATCH($J64,SorP!$B$1:$B$6261,0)),"",INDIRECT("'SorP'!$A$"&amp;MATCH($S64&amp;$J64,SorP!C:C,0))))</f>
        <v>TW-TNN</v>
      </c>
      <c r="U64" s="185"/>
      <c r="V64" s="209">
        <f>IF(C64="",NA(),IF(OR(C64="Smelter not listed",C64="Smelter not yet identified"),MATCH($B64&amp;$D64,'Smelter Look-up'!$J:$J,0),MATCH($B64&amp;$C64,'Smelter Look-up'!$J:$J,0)))</f>
        <v>282</v>
      </c>
      <c r="X64" s="210">
        <f t="shared" si="6"/>
        <v>0</v>
      </c>
      <c r="AB64" s="211" t="str">
        <f t="shared" si="7"/>
        <v>GoldSolar Applied Materials Technology Corp.</v>
      </c>
    </row>
    <row r="65" spans="1:28" s="210" customFormat="1" ht="76.5">
      <c r="A65" s="165" t="s">
        <v>703</v>
      </c>
      <c r="B65" s="166" t="s">
        <v>1087</v>
      </c>
      <c r="C65" s="170" t="s">
        <v>54</v>
      </c>
      <c r="D65" s="213" t="s">
        <v>54</v>
      </c>
      <c r="E65" s="166" t="s">
        <v>1066</v>
      </c>
      <c r="F65" s="166" t="s">
        <v>703</v>
      </c>
      <c r="G65" s="166" t="s">
        <v>12764</v>
      </c>
      <c r="H65" s="167" t="s">
        <v>15921</v>
      </c>
      <c r="I65" s="168" t="s">
        <v>15922</v>
      </c>
      <c r="J65" s="168" t="s">
        <v>2118</v>
      </c>
      <c r="K65" s="207" t="s">
        <v>15923</v>
      </c>
      <c r="L65" s="207" t="s">
        <v>15893</v>
      </c>
      <c r="M65" s="207"/>
      <c r="N65" s="207" t="s">
        <v>15924</v>
      </c>
      <c r="O65" s="207" t="s">
        <v>15925</v>
      </c>
      <c r="P65" s="169" t="s">
        <v>474</v>
      </c>
      <c r="Q65" s="208" t="s">
        <v>15895</v>
      </c>
      <c r="R65" s="166" t="str">
        <f ca="1">IF(ISERROR($V65),"",OFFSET('Smelter Look-up'!$C$4,$V65-4,0)&amp;"")</f>
        <v>Sumitomo Metal Mining Co., Ltd.</v>
      </c>
      <c r="S65" s="165" t="str">
        <f t="shared" ca="1" si="5"/>
        <v>JP</v>
      </c>
      <c r="T65" s="165" t="str">
        <f ca="1">IF(B65="","",IF(ISERROR(MATCH($J65,SorP!$B$1:$B$6261,0)),"",INDIRECT("'SorP'!$A$"&amp;MATCH($S65&amp;$J65,SorP!C:C,0))))</f>
        <v>JP-38</v>
      </c>
      <c r="U65" s="185"/>
      <c r="V65" s="209">
        <f>IF(C65="",NA(),IF(OR(C65="Smelter not listed",C65="Smelter not yet identified"),MATCH($B65&amp;$D65,'Smelter Look-up'!$J:$J,0),MATCH($B65&amp;$C65,'Smelter Look-up'!$J:$J,0)))</f>
        <v>290</v>
      </c>
      <c r="X65" s="210">
        <f t="shared" si="6"/>
        <v>0</v>
      </c>
      <c r="AB65" s="211" t="str">
        <f t="shared" si="7"/>
        <v>GoldSumitomo Metal Mining Co., Ltd.</v>
      </c>
    </row>
    <row r="66" spans="1:28" s="210" customFormat="1" ht="63.75">
      <c r="A66" s="165" t="s">
        <v>704</v>
      </c>
      <c r="B66" s="166" t="s">
        <v>1087</v>
      </c>
      <c r="C66" s="170" t="s">
        <v>1187</v>
      </c>
      <c r="D66" s="213" t="s">
        <v>1187</v>
      </c>
      <c r="E66" s="166" t="s">
        <v>1066</v>
      </c>
      <c r="F66" s="166" t="s">
        <v>704</v>
      </c>
      <c r="G66" s="166" t="s">
        <v>12764</v>
      </c>
      <c r="H66" s="167" t="s">
        <v>15926</v>
      </c>
      <c r="I66" s="168" t="s">
        <v>15927</v>
      </c>
      <c r="J66" s="168" t="s">
        <v>1601</v>
      </c>
      <c r="K66" s="207" t="s">
        <v>15928</v>
      </c>
      <c r="L66" s="207" t="s">
        <v>15893</v>
      </c>
      <c r="M66" s="207"/>
      <c r="N66" s="207" t="s">
        <v>15894</v>
      </c>
      <c r="O66" s="207" t="s">
        <v>15894</v>
      </c>
      <c r="P66" s="169" t="s">
        <v>473</v>
      </c>
      <c r="Q66" s="208" t="s">
        <v>15895</v>
      </c>
      <c r="R66" s="166" t="str">
        <f ca="1">IF(ISERROR($V66),"",OFFSET('Smelter Look-up'!$C$4,$V66-4,0)&amp;"")</f>
        <v>Tanaka Kikinzoku Kogyo K.K.</v>
      </c>
      <c r="S66" s="165" t="str">
        <f t="shared" ca="1" si="5"/>
        <v>JP</v>
      </c>
      <c r="T66" s="165" t="str">
        <f ca="1">IF(B66="","",IF(ISERROR(MATCH($J66,SorP!$B$1:$B$6261,0)),"",INDIRECT("'SorP'!$A$"&amp;MATCH($S66&amp;$J66,SorP!C:C,0))))</f>
        <v>JP-14</v>
      </c>
      <c r="U66" s="185"/>
      <c r="V66" s="209">
        <f>IF(C66="",NA(),IF(OR(C66="Smelter not listed",C66="Smelter not yet identified"),MATCH($B66&amp;$D66,'Smelter Look-up'!$J:$J,0),MATCH($B66&amp;$C66,'Smelter Look-up'!$J:$J,0)))</f>
        <v>303</v>
      </c>
      <c r="X66" s="210">
        <f t="shared" si="6"/>
        <v>0</v>
      </c>
      <c r="AB66" s="211" t="str">
        <f t="shared" si="7"/>
        <v>GoldTanaka Kikinzoku Kogyo K.K.</v>
      </c>
    </row>
    <row r="67" spans="1:28" s="210" customFormat="1" ht="76.5">
      <c r="A67" s="165" t="s">
        <v>706</v>
      </c>
      <c r="B67" s="166" t="s">
        <v>1087</v>
      </c>
      <c r="C67" s="170" t="s">
        <v>14492</v>
      </c>
      <c r="D67" s="213"/>
      <c r="E67" s="166" t="s">
        <v>1058</v>
      </c>
      <c r="F67" s="166" t="s">
        <v>706</v>
      </c>
      <c r="G67" s="166" t="s">
        <v>12764</v>
      </c>
      <c r="H67" s="167">
        <v>0</v>
      </c>
      <c r="I67" s="168" t="s">
        <v>1594</v>
      </c>
      <c r="J67" s="168" t="s">
        <v>13118</v>
      </c>
      <c r="K67" s="207"/>
      <c r="L67" s="207"/>
      <c r="M67" s="207"/>
      <c r="N67" s="207"/>
      <c r="O67" s="207"/>
      <c r="P67" s="169"/>
      <c r="Q67" s="208"/>
      <c r="R67" s="166" t="str">
        <f ca="1">IF(ISERROR($V67),"",OFFSET('Smelter Look-up'!$C$4,$V67-4,0)&amp;"")</f>
        <v>Shandong Gold Smelting Co., Ltd.</v>
      </c>
      <c r="S67" s="165" t="str">
        <f t="shared" ca="1" si="5"/>
        <v>CN</v>
      </c>
      <c r="T67" s="165" t="str">
        <f ca="1">IF(B67="","",IF(ISERROR(MATCH($J67,SorP!$B$1:$B$6261,0)),"",INDIRECT("'SorP'!$A$"&amp;MATCH($S67&amp;$J67,SorP!C:C,0))))</f>
        <v>CN-SD</v>
      </c>
      <c r="U67" s="185"/>
      <c r="V67" s="209">
        <f>IF(C67="",NA(),IF(OR(C67="Smelter not listed",C67="Smelter not yet identified"),MATCH($B67&amp;$D67,'Smelter Look-up'!$J:$J,0),MATCH($B67&amp;$C67,'Smelter Look-up'!$J:$J,0)))</f>
        <v>263</v>
      </c>
      <c r="X67" s="210">
        <f t="shared" si="6"/>
        <v>0</v>
      </c>
      <c r="AB67" s="211" t="str">
        <f t="shared" si="7"/>
        <v>GoldShandong Gold Smelting Co., Ltd.</v>
      </c>
    </row>
    <row r="68" spans="1:28" s="210" customFormat="1" ht="63.75">
      <c r="A68" s="165" t="s">
        <v>707</v>
      </c>
      <c r="B68" s="166" t="s">
        <v>1087</v>
      </c>
      <c r="C68" s="170" t="s">
        <v>2070</v>
      </c>
      <c r="D68" s="213" t="s">
        <v>2070</v>
      </c>
      <c r="E68" s="166" t="s">
        <v>1066</v>
      </c>
      <c r="F68" s="166" t="s">
        <v>707</v>
      </c>
      <c r="G68" s="166" t="s">
        <v>12764</v>
      </c>
      <c r="H68" s="167" t="s">
        <v>15929</v>
      </c>
      <c r="I68" s="168" t="s">
        <v>15930</v>
      </c>
      <c r="J68" s="168" t="s">
        <v>1532</v>
      </c>
      <c r="K68" s="207" t="s">
        <v>15931</v>
      </c>
      <c r="L68" s="207" t="s">
        <v>15893</v>
      </c>
      <c r="M68" s="207"/>
      <c r="N68" s="207" t="s">
        <v>15894</v>
      </c>
      <c r="O68" s="207" t="s">
        <v>15894</v>
      </c>
      <c r="P68" s="169" t="s">
        <v>473</v>
      </c>
      <c r="Q68" s="208" t="s">
        <v>15895</v>
      </c>
      <c r="R68" s="166" t="str">
        <f ca="1">IF(ISERROR($V68),"",OFFSET('Smelter Look-up'!$C$4,$V68-4,0)&amp;"")</f>
        <v>Tokuriki Honten Co., Ltd.</v>
      </c>
      <c r="S68" s="165" t="str">
        <f t="shared" ca="1" si="5"/>
        <v>JP</v>
      </c>
      <c r="T68" s="165" t="str">
        <f ca="1">IF(B68="","",IF(ISERROR(MATCH($J68,SorP!$B$1:$B$6261,0)),"",INDIRECT("'SorP'!$A$"&amp;MATCH($S68&amp;$J68,SorP!C:C,0))))</f>
        <v>JP-11</v>
      </c>
      <c r="U68" s="185"/>
      <c r="V68" s="209">
        <f>IF(C68="",NA(),IF(OR(C68="Smelter not listed",C68="Smelter not yet identified"),MATCH($B68&amp;$D68,'Smelter Look-up'!$J:$J,0),MATCH($B68&amp;$C68,'Smelter Look-up'!$J:$J,0)))</f>
        <v>309</v>
      </c>
      <c r="X68" s="210">
        <f t="shared" si="6"/>
        <v>0</v>
      </c>
      <c r="AB68" s="211" t="str">
        <f t="shared" si="7"/>
        <v>GoldTokuriki Honten Co., Ltd.</v>
      </c>
    </row>
    <row r="69" spans="1:28" s="210" customFormat="1" ht="102">
      <c r="A69" s="165" t="s">
        <v>710</v>
      </c>
      <c r="B69" s="166" t="s">
        <v>1087</v>
      </c>
      <c r="C69" s="170" t="s">
        <v>2224</v>
      </c>
      <c r="D69" s="213"/>
      <c r="E69" s="166" t="s">
        <v>1053</v>
      </c>
      <c r="F69" s="166" t="s">
        <v>710</v>
      </c>
      <c r="G69" s="166" t="s">
        <v>12764</v>
      </c>
      <c r="H69" s="167">
        <v>0</v>
      </c>
      <c r="I69" s="168" t="s">
        <v>1611</v>
      </c>
      <c r="J69" s="168" t="s">
        <v>3031</v>
      </c>
      <c r="K69" s="207"/>
      <c r="L69" s="207"/>
      <c r="M69" s="207"/>
      <c r="N69" s="207"/>
      <c r="O69" s="207"/>
      <c r="P69" s="169"/>
      <c r="Q69" s="208"/>
      <c r="R69" s="166" t="str">
        <f ca="1">IF(ISERROR($V69),"",OFFSET('Smelter Look-up'!$C$4,$V69-4,0)&amp;"")</f>
        <v>Umicore S.A. Business Unit Precious Metals Refining</v>
      </c>
      <c r="S69" s="165" t="str">
        <f t="shared" ref="S69" ca="1" si="8">IF(B69="","",IF(ISERROR(MATCH($E69,CL,0)),"Unknown",INDIRECT("'C'!$A$"&amp;MATCH($E69,CL,0)+1)))</f>
        <v>BE</v>
      </c>
      <c r="T69" s="165" t="str">
        <f ca="1">IF(B69="","",IF(ISERROR(MATCH($J69,SorP!$B$1:$B$6261,0)),"",INDIRECT("'SorP'!$A$"&amp;MATCH($S69&amp;$J69,SorP!C:C,0))))</f>
        <v>BE-VAN</v>
      </c>
      <c r="U69" s="185"/>
      <c r="V69" s="209">
        <f>IF(C69="",NA(),IF(OR(C69="Smelter not listed",C69="Smelter not yet identified"),MATCH($B69&amp;$D69,'Smelter Look-up'!$J:$J,0),MATCH($B69&amp;$C69,'Smelter Look-up'!$J:$J,0)))</f>
        <v>319</v>
      </c>
      <c r="X69" s="210">
        <f t="shared" ref="X69" si="9">IF(AND(C69="Smelter not listed",OR(LEN(D69)=0,LEN(E69)=0)),1,0)</f>
        <v>0</v>
      </c>
      <c r="AB69" s="211" t="str">
        <f t="shared" ref="AB69" si="10">B69&amp;C69</f>
        <v>GoldUmicore S.A. Business Unit Precious Metals Refining</v>
      </c>
    </row>
    <row r="70" spans="1:28" s="210" customFormat="1" ht="76.5">
      <c r="A70" s="165" t="s">
        <v>711</v>
      </c>
      <c r="B70" s="166" t="s">
        <v>1087</v>
      </c>
      <c r="C70" s="170" t="s">
        <v>782</v>
      </c>
      <c r="D70" s="213" t="s">
        <v>782</v>
      </c>
      <c r="E70" s="166" t="s">
        <v>2323</v>
      </c>
      <c r="F70" s="166" t="s">
        <v>711</v>
      </c>
      <c r="G70" s="166" t="s">
        <v>12764</v>
      </c>
      <c r="H70" s="167">
        <v>0</v>
      </c>
      <c r="I70" s="168" t="s">
        <v>1612</v>
      </c>
      <c r="J70" s="168" t="s">
        <v>1560</v>
      </c>
      <c r="K70" s="207" t="s">
        <v>15932</v>
      </c>
      <c r="L70" s="207" t="s">
        <v>15933</v>
      </c>
      <c r="M70" s="207" t="s">
        <v>15934</v>
      </c>
      <c r="N70" s="207" t="s">
        <v>15935</v>
      </c>
      <c r="O70" s="207" t="s">
        <v>15936</v>
      </c>
      <c r="P70" s="169" t="s">
        <v>473</v>
      </c>
      <c r="Q70" s="208" t="s">
        <v>15937</v>
      </c>
      <c r="R70" s="166" t="str">
        <f ca="1">IF(ISERROR($V70),"",OFFSET('Smelter Look-up'!$C$4,$V70-4,0)&amp;"")</f>
        <v>United Precious Metal Refining, Inc.</v>
      </c>
      <c r="S70" s="165" t="str">
        <f t="shared" ref="S70:S101" ca="1" si="11">IF(B70="","",IF(ISERROR(MATCH($E70,CL,0)),"Unknown",INDIRECT("'C'!$A$"&amp;MATCH($E70,CL,0)+1)))</f>
        <v>US</v>
      </c>
      <c r="T70" s="165" t="str">
        <f ca="1">IF(B70="","",IF(ISERROR(MATCH($J70,SorP!$B$1:$B$6261,0)),"",INDIRECT("'SorP'!$A$"&amp;MATCH($S70&amp;$J70,SorP!C:C,0))))</f>
        <v>US-NY</v>
      </c>
      <c r="U70" s="185"/>
      <c r="V70" s="209">
        <f>IF(C70="",NA(),IF(OR(C70="Smelter not listed",C70="Smelter not yet identified"),MATCH($B70&amp;$D70,'Smelter Look-up'!$J:$J,0),MATCH($B70&amp;$C70,'Smelter Look-up'!$J:$J,0)))</f>
        <v>320</v>
      </c>
      <c r="X70" s="210">
        <f t="shared" ref="X70:X101" si="12">IF(AND(C70="Smelter not listed",OR(LEN(D70)=0,LEN(E70)=0)),1,0)</f>
        <v>0</v>
      </c>
      <c r="AB70" s="211" t="str">
        <f t="shared" ref="AB70:AB101" si="13">B70&amp;C70</f>
        <v>GoldUnited Precious Metal Refining, Inc.</v>
      </c>
    </row>
    <row r="71" spans="1:28" s="210" customFormat="1" ht="38.25">
      <c r="A71" s="165" t="s">
        <v>712</v>
      </c>
      <c r="B71" s="166" t="s">
        <v>1087</v>
      </c>
      <c r="C71" s="170" t="s">
        <v>2226</v>
      </c>
      <c r="D71" s="213"/>
      <c r="E71" s="166" t="s">
        <v>1056</v>
      </c>
      <c r="F71" s="166" t="s">
        <v>712</v>
      </c>
      <c r="G71" s="166" t="s">
        <v>12764</v>
      </c>
      <c r="H71" s="167">
        <v>0</v>
      </c>
      <c r="I71" s="168" t="s">
        <v>1613</v>
      </c>
      <c r="J71" s="168" t="s">
        <v>1505</v>
      </c>
      <c r="K71" s="207"/>
      <c r="L71" s="207"/>
      <c r="M71" s="207"/>
      <c r="N71" s="207"/>
      <c r="O71" s="207"/>
      <c r="P71" s="169"/>
      <c r="Q71" s="208"/>
      <c r="R71" s="166" t="str">
        <f ca="1">IF(ISERROR($V71),"",OFFSET('Smelter Look-up'!$C$4,$V71-4,0)&amp;"")</f>
        <v>Valcambi S.A.</v>
      </c>
      <c r="S71" s="165" t="str">
        <f t="shared" ca="1" si="11"/>
        <v>CH</v>
      </c>
      <c r="T71" s="165" t="str">
        <f ca="1">IF(B71="","",IF(ISERROR(MATCH($J71,SorP!$B$1:$B$6261,0)),"",INDIRECT("'SorP'!$A$"&amp;MATCH($S71&amp;$J71,SorP!C:C,0))))</f>
        <v>CH-TI</v>
      </c>
      <c r="U71" s="185"/>
      <c r="V71" s="209">
        <f>IF(C71="",NA(),IF(OR(C71="Smelter not listed",C71="Smelter not yet identified"),MATCH($B71&amp;$D71,'Smelter Look-up'!$J:$J,0),MATCH($B71&amp;$C71,'Smelter Look-up'!$J:$J,0)))</f>
        <v>321</v>
      </c>
      <c r="X71" s="210">
        <f t="shared" si="12"/>
        <v>0</v>
      </c>
      <c r="AB71" s="211" t="str">
        <f t="shared" si="13"/>
        <v>GoldValcambi S.A.</v>
      </c>
    </row>
    <row r="72" spans="1:28" s="210" customFormat="1" ht="102">
      <c r="A72" s="165" t="s">
        <v>713</v>
      </c>
      <c r="B72" s="166" t="s">
        <v>1087</v>
      </c>
      <c r="C72" s="170" t="s">
        <v>2378</v>
      </c>
      <c r="D72" s="213"/>
      <c r="E72" s="166" t="s">
        <v>1051</v>
      </c>
      <c r="F72" s="166" t="s">
        <v>713</v>
      </c>
      <c r="G72" s="166" t="s">
        <v>12764</v>
      </c>
      <c r="H72" s="167">
        <v>0</v>
      </c>
      <c r="I72" s="168" t="s">
        <v>15938</v>
      </c>
      <c r="J72" s="168" t="s">
        <v>1614</v>
      </c>
      <c r="K72" s="207"/>
      <c r="L72" s="207"/>
      <c r="M72" s="207"/>
      <c r="N72" s="207"/>
      <c r="O72" s="207"/>
      <c r="P72" s="169"/>
      <c r="Q72" s="208"/>
      <c r="R72" s="166" t="str">
        <f ca="1">IF(ISERROR($V72),"",OFFSET('Smelter Look-up'!$C$4,$V72-4,0)&amp;"")</f>
        <v>Gold Corporation - The Perth Mint</v>
      </c>
      <c r="S72" s="165" t="str">
        <f t="shared" ca="1" si="11"/>
        <v>AU</v>
      </c>
      <c r="T72" s="165" t="str">
        <f ca="1">IF(B72="","",IF(ISERROR(MATCH($J72,SorP!$B$1:$B$6261,0)),"",INDIRECT("'SorP'!$A$"&amp;MATCH($S72&amp;$J72,SorP!C:C,0))))</f>
        <v>AU-WA</v>
      </c>
      <c r="U72" s="185"/>
      <c r="V72" s="209">
        <f>IF(C72="",NA(),IF(OR(C72="Smelter not listed",C72="Smelter not yet identified"),MATCH($B72&amp;$D72,'Smelter Look-up'!$J:$J,0),MATCH($B72&amp;$C72,'Smelter Look-up'!$J:$J,0)))</f>
        <v>324</v>
      </c>
      <c r="X72" s="210">
        <f t="shared" si="12"/>
        <v>0</v>
      </c>
      <c r="AB72" s="211" t="str">
        <f t="shared" si="13"/>
        <v>GoldWestern Australian Mint (T/a The Perth Mint)</v>
      </c>
    </row>
    <row r="73" spans="1:28" s="210" customFormat="1" ht="51">
      <c r="A73" s="165" t="s">
        <v>714</v>
      </c>
      <c r="B73" s="166" t="s">
        <v>1087</v>
      </c>
      <c r="C73" s="170" t="s">
        <v>12466</v>
      </c>
      <c r="D73" s="213"/>
      <c r="E73" s="166" t="s">
        <v>1066</v>
      </c>
      <c r="F73" s="166" t="s">
        <v>714</v>
      </c>
      <c r="G73" s="166" t="s">
        <v>12764</v>
      </c>
      <c r="H73" s="167">
        <v>0</v>
      </c>
      <c r="I73" s="168" t="s">
        <v>12477</v>
      </c>
      <c r="J73" s="168" t="s">
        <v>6453</v>
      </c>
      <c r="K73" s="207"/>
      <c r="L73" s="207"/>
      <c r="M73" s="207"/>
      <c r="N73" s="207"/>
      <c r="O73" s="207"/>
      <c r="P73" s="169"/>
      <c r="Q73" s="208"/>
      <c r="R73" s="166" t="str">
        <f ca="1">IF(ISERROR($V73),"",OFFSET('Smelter Look-up'!$C$4,$V73-4,0)&amp;"")</f>
        <v>Yamakin Co., Ltd.</v>
      </c>
      <c r="S73" s="165" t="str">
        <f t="shared" ca="1" si="11"/>
        <v>JP</v>
      </c>
      <c r="T73" s="165" t="str">
        <f ca="1">IF(B73="","",IF(ISERROR(MATCH($J73,SorP!$B$1:$B$6261,0)),"",INDIRECT("'SorP'!$A$"&amp;MATCH($S73&amp;$J73,SorP!C:C,0))))</f>
        <v>JP-39</v>
      </c>
      <c r="U73" s="185"/>
      <c r="V73" s="209">
        <f>IF(C73="",NA(),IF(OR(C73="Smelter not listed",C73="Smelter not yet identified"),MATCH($B73&amp;$D73,'Smelter Look-up'!$J:$J,0),MATCH($B73&amp;$C73,'Smelter Look-up'!$J:$J,0)))</f>
        <v>328</v>
      </c>
      <c r="X73" s="210">
        <f t="shared" si="12"/>
        <v>0</v>
      </c>
      <c r="AB73" s="211" t="str">
        <f t="shared" si="13"/>
        <v>GoldYamakin Co., Ltd.</v>
      </c>
    </row>
    <row r="74" spans="1:28" s="210" customFormat="1" ht="63.75">
      <c r="A74" s="165" t="s">
        <v>715</v>
      </c>
      <c r="B74" s="166" t="s">
        <v>1087</v>
      </c>
      <c r="C74" s="170" t="s">
        <v>2072</v>
      </c>
      <c r="D74" s="213"/>
      <c r="E74" s="166" t="s">
        <v>1066</v>
      </c>
      <c r="F74" s="166" t="s">
        <v>715</v>
      </c>
      <c r="G74" s="166" t="s">
        <v>12764</v>
      </c>
      <c r="H74" s="167">
        <v>0</v>
      </c>
      <c r="I74" s="168" t="s">
        <v>1619</v>
      </c>
      <c r="J74" s="168" t="s">
        <v>1601</v>
      </c>
      <c r="K74" s="207"/>
      <c r="L74" s="207"/>
      <c r="M74" s="207"/>
      <c r="N74" s="207"/>
      <c r="O74" s="207"/>
      <c r="P74" s="169"/>
      <c r="Q74" s="208"/>
      <c r="R74" s="166" t="str">
        <f ca="1">IF(ISERROR($V74),"",OFFSET('Smelter Look-up'!$C$4,$V74-4,0)&amp;"")</f>
        <v>Yokohama Metal Co., Ltd.</v>
      </c>
      <c r="S74" s="165" t="str">
        <f t="shared" ca="1" si="11"/>
        <v>JP</v>
      </c>
      <c r="T74" s="165" t="str">
        <f ca="1">IF(B74="","",IF(ISERROR(MATCH($J74,SorP!$B$1:$B$6261,0)),"",INDIRECT("'SorP'!$A$"&amp;MATCH($S74&amp;$J74,SorP!C:C,0))))</f>
        <v>JP-14</v>
      </c>
      <c r="U74" s="185"/>
      <c r="V74" s="209">
        <f>IF(C74="",NA(),IF(OR(C74="Smelter not listed",C74="Smelter not yet identified"),MATCH($B74&amp;$D74,'Smelter Look-up'!$J:$J,0),MATCH($B74&amp;$C74,'Smelter Look-up'!$J:$J,0)))</f>
        <v>333</v>
      </c>
      <c r="X74" s="210">
        <f t="shared" si="12"/>
        <v>0</v>
      </c>
      <c r="AB74" s="211" t="str">
        <f t="shared" si="13"/>
        <v>GoldYokohama Metal Co., Ltd.</v>
      </c>
    </row>
    <row r="75" spans="1:28" s="210" customFormat="1" ht="114.75">
      <c r="A75" s="165" t="s">
        <v>717</v>
      </c>
      <c r="B75" s="166" t="s">
        <v>1087</v>
      </c>
      <c r="C75" s="170" t="s">
        <v>1279</v>
      </c>
      <c r="D75" s="213"/>
      <c r="E75" s="166" t="s">
        <v>1058</v>
      </c>
      <c r="F75" s="166" t="s">
        <v>717</v>
      </c>
      <c r="G75" s="166" t="s">
        <v>12764</v>
      </c>
      <c r="H75" s="167">
        <v>0</v>
      </c>
      <c r="I75" s="168" t="s">
        <v>1620</v>
      </c>
      <c r="J75" s="168" t="s">
        <v>13119</v>
      </c>
      <c r="K75" s="207"/>
      <c r="L75" s="207"/>
      <c r="M75" s="207"/>
      <c r="N75" s="207"/>
      <c r="O75" s="207"/>
      <c r="P75" s="169"/>
      <c r="Q75" s="208"/>
      <c r="R75" s="166" t="str">
        <f ca="1">IF(ISERROR($V75),"",OFFSET('Smelter Look-up'!$C$4,$V75-4,0)&amp;"")</f>
        <v>Zhongyuan Gold Smelter of Zhongjin Gold Corporation</v>
      </c>
      <c r="S75" s="165" t="str">
        <f t="shared" ca="1" si="11"/>
        <v>CN</v>
      </c>
      <c r="T75" s="165" t="str">
        <f ca="1">IF(B75="","",IF(ISERROR(MATCH($J75,SorP!$B$1:$B$6261,0)),"",INDIRECT("'SorP'!$A$"&amp;MATCH($S75&amp;$J75,SorP!C:C,0))))</f>
        <v>CN-HA</v>
      </c>
      <c r="U75" s="185"/>
      <c r="V75" s="209">
        <f>IF(C75="",NA(),IF(OR(C75="Smelter not listed",C75="Smelter not yet identified"),MATCH($B75&amp;$D75,'Smelter Look-up'!$J:$J,0),MATCH($B75&amp;$C75,'Smelter Look-up'!$J:$J,0)))</f>
        <v>344</v>
      </c>
      <c r="X75" s="210">
        <f t="shared" si="12"/>
        <v>0</v>
      </c>
      <c r="AB75" s="211" t="str">
        <f t="shared" si="13"/>
        <v>GoldZhongyuan Gold Smelter of Zhongjin Gold Corporation</v>
      </c>
    </row>
    <row r="76" spans="1:28" s="210" customFormat="1" ht="89.25">
      <c r="A76" s="165" t="s">
        <v>718</v>
      </c>
      <c r="B76" s="166" t="s">
        <v>1087</v>
      </c>
      <c r="C76" s="170" t="s">
        <v>2386</v>
      </c>
      <c r="D76" s="213"/>
      <c r="E76" s="166" t="s">
        <v>1058</v>
      </c>
      <c r="F76" s="166" t="s">
        <v>718</v>
      </c>
      <c r="G76" s="166" t="s">
        <v>12764</v>
      </c>
      <c r="H76" s="167">
        <v>0</v>
      </c>
      <c r="I76" s="168" t="s">
        <v>15939</v>
      </c>
      <c r="J76" s="168" t="s">
        <v>13116</v>
      </c>
      <c r="K76" s="207"/>
      <c r="L76" s="207"/>
      <c r="M76" s="207"/>
      <c r="N76" s="207"/>
      <c r="O76" s="207"/>
      <c r="P76" s="169"/>
      <c r="Q76" s="208"/>
      <c r="R76" s="166" t="str">
        <f ca="1">IF(ISERROR($V76),"",OFFSET('Smelter Look-up'!$C$4,$V76-4,0)&amp;"")</f>
        <v>Zijin Mining Group Gold Smelting Co. Ltd.</v>
      </c>
      <c r="S76" s="165" t="str">
        <f t="shared" ca="1" si="11"/>
        <v>CN</v>
      </c>
      <c r="T76" s="165" t="str">
        <f ca="1">IF(B76="","",IF(ISERROR(MATCH($J76,SorP!$B$1:$B$6261,0)),"",INDIRECT("'SorP'!$A$"&amp;MATCH($S76&amp;$J76,SorP!C:C,0))))</f>
        <v>CN-FJ</v>
      </c>
      <c r="U76" s="185"/>
      <c r="V76" s="209">
        <f>IF(C76="",NA(),IF(OR(C76="Smelter not listed",C76="Smelter not yet identified"),MATCH($B76&amp;$D76,'Smelter Look-up'!$J:$J,0),MATCH($B76&amp;$C76,'Smelter Look-up'!$J:$J,0)))</f>
        <v>111</v>
      </c>
      <c r="X76" s="210">
        <f t="shared" si="12"/>
        <v>0</v>
      </c>
      <c r="AB76" s="211" t="str">
        <f t="shared" si="13"/>
        <v>GoldGold Refinery of Zijin Mining Group Co., Ltd.</v>
      </c>
    </row>
    <row r="77" spans="1:28" s="210" customFormat="1" ht="25.5">
      <c r="A77" s="165" t="s">
        <v>2214</v>
      </c>
      <c r="B77" s="166" t="s">
        <v>1087</v>
      </c>
      <c r="C77" s="170" t="s">
        <v>2213</v>
      </c>
      <c r="D77" s="213"/>
      <c r="E77" s="166" t="s">
        <v>12996</v>
      </c>
      <c r="F77" s="166" t="s">
        <v>2214</v>
      </c>
      <c r="G77" s="166" t="s">
        <v>12764</v>
      </c>
      <c r="H77" s="167"/>
      <c r="I77" s="168" t="s">
        <v>2215</v>
      </c>
      <c r="J77" s="168" t="s">
        <v>4026</v>
      </c>
      <c r="K77" s="207"/>
      <c r="L77" s="207"/>
      <c r="M77" s="207"/>
      <c r="N77" s="207" t="s">
        <v>15940</v>
      </c>
      <c r="O77" s="207"/>
      <c r="P77" s="169"/>
      <c r="Q77" s="208"/>
      <c r="R77" s="166" t="str">
        <f ca="1">IF(ISERROR($V77),"",OFFSET('Smelter Look-up'!$C$4,$V77-4,0)&amp;"")</f>
        <v>SAFINA A.S.</v>
      </c>
      <c r="S77" s="165" t="str">
        <f t="shared" ca="1" si="11"/>
        <v>CZ</v>
      </c>
      <c r="T77" s="165" t="str">
        <f ca="1">IF(B77="","",IF(ISERROR(MATCH($J77,SorP!$B$1:$B$6261,0)),"",INDIRECT("'SorP'!$A$"&amp;MATCH($S77&amp;$J77,SorP!C:C,0))))</f>
        <v>CZ-20A</v>
      </c>
      <c r="U77" s="185"/>
      <c r="V77" s="209">
        <f>IF(C77="",NA(),IF(OR(C77="Smelter not listed",C77="Smelter not yet identified"),MATCH($B77&amp;$D77,'Smelter Look-up'!$J:$J,0),MATCH($B77&amp;$C77,'Smelter Look-up'!$J:$J,0)))</f>
        <v>250</v>
      </c>
      <c r="X77" s="210">
        <f t="shared" si="12"/>
        <v>0</v>
      </c>
      <c r="AB77" s="211" t="str">
        <f t="shared" si="13"/>
        <v>GoldSAFINA A.S.</v>
      </c>
    </row>
    <row r="78" spans="1:28" s="210" customFormat="1" ht="76.5">
      <c r="A78" s="165" t="s">
        <v>1344</v>
      </c>
      <c r="B78" s="166" t="s">
        <v>1087</v>
      </c>
      <c r="C78" s="170" t="s">
        <v>2077</v>
      </c>
      <c r="D78" s="213"/>
      <c r="E78" s="166" t="s">
        <v>1064</v>
      </c>
      <c r="F78" s="166" t="s">
        <v>1344</v>
      </c>
      <c r="G78" s="166" t="s">
        <v>12764</v>
      </c>
      <c r="H78" s="167">
        <v>0</v>
      </c>
      <c r="I78" s="168" t="s">
        <v>1624</v>
      </c>
      <c r="J78" s="168" t="s">
        <v>14936</v>
      </c>
      <c r="K78" s="207"/>
      <c r="L78" s="207"/>
      <c r="M78" s="207"/>
      <c r="N78" s="207"/>
      <c r="O78" s="207"/>
      <c r="P78" s="169"/>
      <c r="Q78" s="208"/>
      <c r="R78" s="166" t="str">
        <f ca="1">IF(ISERROR($V78),"",OFFSET('Smelter Look-up'!$C$4,$V78-4,0)&amp;"")</f>
        <v>MMTC-PAMP India Pvt., Ltd.</v>
      </c>
      <c r="S78" s="165" t="str">
        <f t="shared" ca="1" si="11"/>
        <v>IN</v>
      </c>
      <c r="T78" s="165" t="str">
        <f ca="1">IF(B78="","",IF(ISERROR(MATCH($J78,SorP!$B$1:$B$6261,0)),"",INDIRECT("'SorP'!$A$"&amp;MATCH($S78&amp;$J78,SorP!C:C,0))))</f>
        <v>IN-HR</v>
      </c>
      <c r="U78" s="185"/>
      <c r="V78" s="209">
        <f>IF(C78="",NA(),IF(OR(C78="Smelter not listed",C78="Smelter not yet identified"),MATCH($B78&amp;$D78,'Smelter Look-up'!$J:$J,0),MATCH($B78&amp;$C78,'Smelter Look-up'!$J:$J,0)))</f>
        <v>208</v>
      </c>
      <c r="X78" s="210">
        <f t="shared" si="12"/>
        <v>0</v>
      </c>
      <c r="AB78" s="211" t="str">
        <f t="shared" si="13"/>
        <v>GoldMMTC-PAMP India Pvt., Ltd.</v>
      </c>
    </row>
    <row r="79" spans="1:28" s="210" customFormat="1" ht="76.5">
      <c r="A79" s="165" t="s">
        <v>1342</v>
      </c>
      <c r="B79" s="166" t="s">
        <v>1087</v>
      </c>
      <c r="C79" s="170" t="s">
        <v>12257</v>
      </c>
      <c r="D79" s="213"/>
      <c r="E79" s="166" t="s">
        <v>842</v>
      </c>
      <c r="F79" s="166" t="s">
        <v>1342</v>
      </c>
      <c r="G79" s="166" t="s">
        <v>12764</v>
      </c>
      <c r="H79" s="167">
        <v>0</v>
      </c>
      <c r="I79" s="168" t="s">
        <v>1626</v>
      </c>
      <c r="J79" s="168" t="s">
        <v>9073</v>
      </c>
      <c r="K79" s="207"/>
      <c r="L79" s="207"/>
      <c r="M79" s="207"/>
      <c r="N79" s="207"/>
      <c r="O79" s="207"/>
      <c r="P79" s="169"/>
      <c r="Q79" s="208"/>
      <c r="R79" s="166" t="str">
        <f ca="1">IF(ISERROR($V79),"",OFFSET('Smelter Look-up'!$C$4,$V79-4,0)&amp;"")</f>
        <v>KGHM Polska Miedz Spolka Akcyjna</v>
      </c>
      <c r="S79" s="165" t="str">
        <f t="shared" ca="1" si="11"/>
        <v>PL</v>
      </c>
      <c r="T79" s="165" t="str">
        <f ca="1">IF(B79="","",IF(ISERROR(MATCH($J79,SorP!$B$1:$B$6261,0)),"",INDIRECT("'SorP'!$A$"&amp;MATCH($S79&amp;$J79,SorP!C:C,0))))</f>
        <v>PL-02</v>
      </c>
      <c r="U79" s="185"/>
      <c r="V79" s="209">
        <f>IF(C79="",NA(),IF(OR(C79="Smelter not listed",C79="Smelter not yet identified"),MATCH($B79&amp;$D79,'Smelter Look-up'!$J:$J,0),MATCH($B79&amp;$C79,'Smelter Look-up'!$J:$J,0)))</f>
        <v>160</v>
      </c>
      <c r="X79" s="210">
        <f t="shared" si="12"/>
        <v>0</v>
      </c>
      <c r="AB79" s="211" t="str">
        <f t="shared" si="13"/>
        <v>GoldKGHM Polska Miedz Spolka Akcyjna</v>
      </c>
    </row>
    <row r="80" spans="1:28" s="210" customFormat="1" ht="25.5">
      <c r="A80" s="165" t="s">
        <v>1637</v>
      </c>
      <c r="B80" s="166" t="s">
        <v>1087</v>
      </c>
      <c r="C80" s="170" t="s">
        <v>2121</v>
      </c>
      <c r="D80" s="213"/>
      <c r="E80" s="166" t="s">
        <v>1065</v>
      </c>
      <c r="F80" s="166" t="s">
        <v>1637</v>
      </c>
      <c r="G80" s="166" t="s">
        <v>12764</v>
      </c>
      <c r="H80" s="167">
        <v>0</v>
      </c>
      <c r="I80" s="168" t="s">
        <v>1638</v>
      </c>
      <c r="J80" s="168" t="s">
        <v>6296</v>
      </c>
      <c r="K80" s="207"/>
      <c r="L80" s="207"/>
      <c r="M80" s="207"/>
      <c r="N80" s="207"/>
      <c r="O80" s="207"/>
      <c r="P80" s="169"/>
      <c r="Q80" s="208"/>
      <c r="R80" s="166" t="str">
        <f ca="1">IF(ISERROR($V80),"",OFFSET('Smelter Look-up'!$C$4,$V80-4,0)&amp;"")</f>
        <v>T.C.A S.p.A</v>
      </c>
      <c r="S80" s="165" t="str">
        <f t="shared" ca="1" si="11"/>
        <v>IT</v>
      </c>
      <c r="T80" s="165" t="str">
        <f ca="1">IF(B80="","",IF(ISERROR(MATCH($J80,SorP!$B$1:$B$6261,0)),"",INDIRECT("'SorP'!$A$"&amp;MATCH($S80&amp;$J80,SorP!C:C,0))))</f>
        <v>IT-52</v>
      </c>
      <c r="U80" s="185"/>
      <c r="V80" s="209">
        <f>IF(C80="",NA(),IF(OR(C80="Smelter not listed",C80="Smelter not yet identified"),MATCH($B80&amp;$D80,'Smelter Look-up'!$J:$J,0),MATCH($B80&amp;$C80,'Smelter Look-up'!$J:$J,0)))</f>
        <v>294</v>
      </c>
      <c r="X80" s="210">
        <f t="shared" si="12"/>
        <v>0</v>
      </c>
      <c r="AB80" s="211" t="str">
        <f t="shared" si="13"/>
        <v>GoldT.C.A S.p.A</v>
      </c>
    </row>
    <row r="81" spans="1:28" s="210" customFormat="1" ht="51">
      <c r="A81" s="165" t="s">
        <v>2212</v>
      </c>
      <c r="B81" s="166" t="s">
        <v>1087</v>
      </c>
      <c r="C81" s="170" t="s">
        <v>13279</v>
      </c>
      <c r="D81" s="213"/>
      <c r="E81" s="166" t="s">
        <v>1074</v>
      </c>
      <c r="F81" s="166" t="s">
        <v>2212</v>
      </c>
      <c r="G81" s="166" t="s">
        <v>12764</v>
      </c>
      <c r="H81" s="167">
        <v>0</v>
      </c>
      <c r="I81" s="168" t="s">
        <v>2241</v>
      </c>
      <c r="J81" s="168" t="s">
        <v>8529</v>
      </c>
      <c r="K81" s="207"/>
      <c r="L81" s="207"/>
      <c r="M81" s="207"/>
      <c r="N81" s="207"/>
      <c r="O81" s="207"/>
      <c r="P81" s="169"/>
      <c r="Q81" s="208"/>
      <c r="R81" s="166" t="str">
        <f ca="1">IF(ISERROR($V81),"",OFFSET('Smelter Look-up'!$C$4,$V81-4,0)&amp;"")</f>
        <v>REMONDIS PMR B.V.</v>
      </c>
      <c r="S81" s="165" t="str">
        <f t="shared" ca="1" si="11"/>
        <v>Unknown</v>
      </c>
      <c r="T81" s="165" t="e">
        <f ca="1">IF(B81="","",IF(ISERROR(MATCH($J81,SorP!$B$1:$B$6261,0)),"",INDIRECT("'SorP'!$A$"&amp;MATCH($S81&amp;$J81,SorP!C:C,0))))</f>
        <v>#N/A</v>
      </c>
      <c r="U81" s="185"/>
      <c r="V81" s="209">
        <f>IF(C81="",NA(),IF(OR(C81="Smelter not listed",C81="Smelter not yet identified"),MATCH($B81&amp;$D81,'Smelter Look-up'!$J:$J,0),MATCH($B81&amp;$C81,'Smelter Look-up'!$J:$J,0)))</f>
        <v>244</v>
      </c>
      <c r="X81" s="210">
        <f t="shared" si="12"/>
        <v>0</v>
      </c>
      <c r="AB81" s="211" t="str">
        <f t="shared" si="13"/>
        <v>GoldREMONDIS PMR B.V.</v>
      </c>
    </row>
    <row r="82" spans="1:28" s="210" customFormat="1" ht="51">
      <c r="A82" s="165" t="s">
        <v>1639</v>
      </c>
      <c r="B82" s="166" t="s">
        <v>1087</v>
      </c>
      <c r="C82" s="170" t="s">
        <v>2199</v>
      </c>
      <c r="D82" s="213"/>
      <c r="E82" s="166" t="s">
        <v>1069</v>
      </c>
      <c r="F82" s="166" t="s">
        <v>1639</v>
      </c>
      <c r="G82" s="166" t="s">
        <v>12764</v>
      </c>
      <c r="H82" s="167">
        <v>0</v>
      </c>
      <c r="I82" s="168" t="s">
        <v>15163</v>
      </c>
      <c r="J82" s="168" t="s">
        <v>12422</v>
      </c>
      <c r="K82" s="207"/>
      <c r="L82" s="207"/>
      <c r="M82" s="207"/>
      <c r="N82" s="207"/>
      <c r="O82" s="207"/>
      <c r="P82" s="169"/>
      <c r="Q82" s="208"/>
      <c r="R82" s="166" t="str">
        <f ca="1">IF(ISERROR($V82),"",OFFSET('Smelter Look-up'!$C$4,$V82-4,0)&amp;"")</f>
        <v>Korea Zinc Co., Ltd.</v>
      </c>
      <c r="S82" s="165" t="str">
        <f t="shared" ca="1" si="11"/>
        <v>KR</v>
      </c>
      <c r="T82" s="165" t="str">
        <f ca="1">IF(B82="","",IF(ISERROR(MATCH($J82,SorP!$B$1:$B$6261,0)),"",INDIRECT("'SorP'!$A$"&amp;MATCH($S82&amp;$J82,SorP!C:C,0))))</f>
        <v>KR-11</v>
      </c>
      <c r="U82" s="185"/>
      <c r="V82" s="209">
        <f>IF(C82="",NA(),IF(OR(C82="Smelter not listed",C82="Smelter not yet identified"),MATCH($B82&amp;$D82,'Smelter Look-up'!$J:$J,0),MATCH($B82&amp;$C82,'Smelter Look-up'!$J:$J,0)))</f>
        <v>166</v>
      </c>
      <c r="X82" s="210">
        <f t="shared" si="12"/>
        <v>0</v>
      </c>
      <c r="AB82" s="211" t="str">
        <f t="shared" si="13"/>
        <v>GoldKorea Zinc Co., Ltd.</v>
      </c>
    </row>
    <row r="83" spans="1:28" s="210" customFormat="1" ht="51">
      <c r="A83" s="165" t="s">
        <v>2221</v>
      </c>
      <c r="B83" s="166" t="s">
        <v>1087</v>
      </c>
      <c r="C83" s="170" t="s">
        <v>2220</v>
      </c>
      <c r="D83" s="213"/>
      <c r="E83" s="166" t="s">
        <v>1067</v>
      </c>
      <c r="F83" s="166" t="s">
        <v>2221</v>
      </c>
      <c r="G83" s="166" t="s">
        <v>12764</v>
      </c>
      <c r="H83" s="167">
        <v>0</v>
      </c>
      <c r="I83" s="168" t="s">
        <v>2222</v>
      </c>
      <c r="J83" s="168" t="s">
        <v>2223</v>
      </c>
      <c r="K83" s="207"/>
      <c r="L83" s="207"/>
      <c r="M83" s="207"/>
      <c r="N83" s="207"/>
      <c r="O83" s="207"/>
      <c r="P83" s="169"/>
      <c r="Q83" s="208"/>
      <c r="R83" s="166" t="str">
        <f ca="1">IF(ISERROR($V83),"",OFFSET('Smelter Look-up'!$C$4,$V83-4,0)&amp;"")</f>
        <v>TOO Tau-Ken-Altyn</v>
      </c>
      <c r="S83" s="165" t="str">
        <f t="shared" ca="1" si="11"/>
        <v>KZ</v>
      </c>
      <c r="T83" s="165" t="str">
        <f ca="1">IF(B83="","",IF(ISERROR(MATCH($J83,SorP!$B$1:$B$6261,0)),"",INDIRECT("'SorP'!$A$"&amp;MATCH($S83&amp;$J83,SorP!C:C,0))))</f>
        <v>KZ-75</v>
      </c>
      <c r="U83" s="185"/>
      <c r="V83" s="209">
        <f>IF(C83="",NA(),IF(OR(C83="Smelter not listed",C83="Smelter not yet identified"),MATCH($B83&amp;$D83,'Smelter Look-up'!$J:$J,0),MATCH($B83&amp;$C83,'Smelter Look-up'!$J:$J,0)))</f>
        <v>314</v>
      </c>
      <c r="X83" s="210">
        <f t="shared" si="12"/>
        <v>0</v>
      </c>
      <c r="AB83" s="211" t="str">
        <f t="shared" si="13"/>
        <v>GoldTOO Tau-Ken-Altyn</v>
      </c>
    </row>
    <row r="84" spans="1:28" s="210" customFormat="1" ht="63.75">
      <c r="A84" s="165" t="s">
        <v>2325</v>
      </c>
      <c r="B84" s="166" t="s">
        <v>1087</v>
      </c>
      <c r="C84" s="170" t="s">
        <v>2324</v>
      </c>
      <c r="D84" s="213"/>
      <c r="E84" s="166" t="s">
        <v>2323</v>
      </c>
      <c r="F84" s="166" t="s">
        <v>2325</v>
      </c>
      <c r="G84" s="166" t="s">
        <v>12764</v>
      </c>
      <c r="H84" s="167">
        <v>0</v>
      </c>
      <c r="I84" s="168" t="s">
        <v>2326</v>
      </c>
      <c r="J84" s="168" t="s">
        <v>1660</v>
      </c>
      <c r="K84" s="207"/>
      <c r="L84" s="207"/>
      <c r="M84" s="207"/>
      <c r="N84" s="207"/>
      <c r="O84" s="207"/>
      <c r="P84" s="169"/>
      <c r="Q84" s="208"/>
      <c r="R84" s="166" t="str">
        <f ca="1">IF(ISERROR($V84),"",OFFSET('Smelter Look-up'!$C$4,$V84-4,0)&amp;"")</f>
        <v>Abington Reldan Metals, LLC</v>
      </c>
      <c r="S84" s="165" t="str">
        <f t="shared" ca="1" si="11"/>
        <v>US</v>
      </c>
      <c r="T84" s="165" t="str">
        <f ca="1">IF(B84="","",IF(ISERROR(MATCH($J84,SorP!$B$1:$B$6261,0)),"",INDIRECT("'SorP'!$A$"&amp;MATCH($S84&amp;$J84,SorP!C:C,0))))</f>
        <v>US-PA</v>
      </c>
      <c r="U84" s="185"/>
      <c r="V84" s="209">
        <f>IF(C84="",NA(),IF(OR(C84="Smelter not listed",C84="Smelter not yet identified"),MATCH($B84&amp;$D84,'Smelter Look-up'!$J:$J,0),MATCH($B84&amp;$C84,'Smelter Look-up'!$J:$J,0)))</f>
        <v>7</v>
      </c>
      <c r="X84" s="210">
        <f t="shared" si="12"/>
        <v>0</v>
      </c>
      <c r="AB84" s="211" t="str">
        <f t="shared" si="13"/>
        <v>GoldAbington Reldan Metals, LLC</v>
      </c>
    </row>
    <row r="85" spans="1:28" s="210" customFormat="1" ht="25.5">
      <c r="A85" s="165" t="s">
        <v>2393</v>
      </c>
      <c r="B85" s="166" t="s">
        <v>1087</v>
      </c>
      <c r="C85" s="170" t="s">
        <v>2392</v>
      </c>
      <c r="D85" s="213"/>
      <c r="E85" s="166" t="s">
        <v>1065</v>
      </c>
      <c r="F85" s="166" t="s">
        <v>2393</v>
      </c>
      <c r="G85" s="166" t="s">
        <v>12764</v>
      </c>
      <c r="H85" s="167">
        <v>0</v>
      </c>
      <c r="I85" s="168" t="s">
        <v>1522</v>
      </c>
      <c r="J85" s="168" t="s">
        <v>6296</v>
      </c>
      <c r="K85" s="207"/>
      <c r="L85" s="207"/>
      <c r="M85" s="207"/>
      <c r="N85" s="207"/>
      <c r="O85" s="207"/>
      <c r="P85" s="169"/>
      <c r="Q85" s="208"/>
      <c r="R85" s="166" t="str">
        <f ca="1">IF(ISERROR($V85),"",OFFSET('Smelter Look-up'!$C$4,$V85-4,0)&amp;"")</f>
        <v>Italpreziosi</v>
      </c>
      <c r="S85" s="165" t="str">
        <f t="shared" ca="1" si="11"/>
        <v>IT</v>
      </c>
      <c r="T85" s="165" t="str">
        <f ca="1">IF(B85="","",IF(ISERROR(MATCH($J85,SorP!$B$1:$B$6261,0)),"",INDIRECT("'SorP'!$A$"&amp;MATCH($S85&amp;$J85,SorP!C:C,0))))</f>
        <v>IT-52</v>
      </c>
      <c r="U85" s="185"/>
      <c r="V85" s="209">
        <f>IF(C85="",NA(),IF(OR(C85="Smelter not listed",C85="Smelter not yet identified"),MATCH($B85&amp;$D85,'Smelter Look-up'!$J:$J,0),MATCH($B85&amp;$C85,'Smelter Look-up'!$J:$J,0)))</f>
        <v>139</v>
      </c>
      <c r="X85" s="210">
        <f t="shared" si="12"/>
        <v>0</v>
      </c>
      <c r="AB85" s="211" t="str">
        <f t="shared" si="13"/>
        <v>GoldItalpreziosi</v>
      </c>
    </row>
    <row r="86" spans="1:28" s="210" customFormat="1" ht="63.75">
      <c r="A86" s="165" t="s">
        <v>2110</v>
      </c>
      <c r="B86" s="166" t="s">
        <v>1087</v>
      </c>
      <c r="C86" s="170" t="s">
        <v>2108</v>
      </c>
      <c r="D86" s="213"/>
      <c r="E86" s="166" t="s">
        <v>1059</v>
      </c>
      <c r="F86" s="166" t="s">
        <v>2110</v>
      </c>
      <c r="G86" s="166" t="s">
        <v>12764</v>
      </c>
      <c r="H86" s="167">
        <v>0</v>
      </c>
      <c r="I86" s="168" t="s">
        <v>1498</v>
      </c>
      <c r="J86" s="168" t="s">
        <v>1499</v>
      </c>
      <c r="K86" s="207"/>
      <c r="L86" s="207"/>
      <c r="M86" s="207"/>
      <c r="N86" s="207"/>
      <c r="O86" s="207"/>
      <c r="P86" s="169"/>
      <c r="Q86" s="208"/>
      <c r="R86" s="166" t="str">
        <f ca="1">IF(ISERROR($V86),"",OFFSET('Smelter Look-up'!$C$4,$V86-4,0)&amp;"")</f>
        <v>WIELAND Edelmetalle GmbH</v>
      </c>
      <c r="S86" s="165" t="str">
        <f t="shared" ca="1" si="11"/>
        <v>DE</v>
      </c>
      <c r="T86" s="165" t="str">
        <f ca="1">IF(B86="","",IF(ISERROR(MATCH($J86,SorP!$B$1:$B$6261,0)),"",INDIRECT("'SorP'!$A$"&amp;MATCH($S86&amp;$J86,SorP!C:C,0))))</f>
        <v>DE-BW</v>
      </c>
      <c r="U86" s="185"/>
      <c r="V86" s="209">
        <f>IF(C86="",NA(),IF(OR(C86="Smelter not listed",C86="Smelter not yet identified"),MATCH($B86&amp;$D86,'Smelter Look-up'!$J:$J,0),MATCH($B86&amp;$C86,'Smelter Look-up'!$J:$J,0)))</f>
        <v>325</v>
      </c>
      <c r="X86" s="210">
        <f t="shared" si="12"/>
        <v>0</v>
      </c>
      <c r="AB86" s="211" t="str">
        <f t="shared" si="13"/>
        <v>GoldWIELAND Edelmetalle GmbH</v>
      </c>
    </row>
    <row r="87" spans="1:28" s="210" customFormat="1" ht="38.25">
      <c r="A87" s="165" t="s">
        <v>2189</v>
      </c>
      <c r="B87" s="166" t="s">
        <v>1087</v>
      </c>
      <c r="C87" s="170" t="s">
        <v>2188</v>
      </c>
      <c r="D87" s="213"/>
      <c r="E87" s="166" t="s">
        <v>1064</v>
      </c>
      <c r="F87" s="166" t="s">
        <v>2189</v>
      </c>
      <c r="G87" s="166" t="s">
        <v>12764</v>
      </c>
      <c r="H87" s="167">
        <v>0</v>
      </c>
      <c r="I87" s="168" t="s">
        <v>2238</v>
      </c>
      <c r="J87" s="168" t="s">
        <v>14938</v>
      </c>
      <c r="K87" s="207"/>
      <c r="L87" s="207"/>
      <c r="M87" s="207"/>
      <c r="N87" s="207"/>
      <c r="O87" s="207"/>
      <c r="P87" s="169"/>
      <c r="Q87" s="208"/>
      <c r="R87" s="166" t="str">
        <f ca="1">IF(ISERROR($V87),"",OFFSET('Smelter Look-up'!$C$4,$V87-4,0)&amp;"")</f>
        <v>Bangalore Refinery</v>
      </c>
      <c r="S87" s="165" t="str">
        <f t="shared" ca="1" si="11"/>
        <v>IN</v>
      </c>
      <c r="T87" s="165" t="str">
        <f ca="1">IF(B87="","",IF(ISERROR(MATCH($J87,SorP!$B$1:$B$6261,0)),"",INDIRECT("'SorP'!$A$"&amp;MATCH($S87&amp;$J87,SorP!C:C,0))))</f>
        <v>IN-KA</v>
      </c>
      <c r="U87" s="185"/>
      <c r="V87" s="209">
        <f>IF(C87="",NA(),IF(OR(C87="Smelter not listed",C87="Smelter not yet identified"),MATCH($B87&amp;$D87,'Smelter Look-up'!$J:$J,0),MATCH($B87&amp;$C87,'Smelter Look-up'!$J:$J,0)))</f>
        <v>47</v>
      </c>
      <c r="X87" s="210">
        <f t="shared" si="12"/>
        <v>0</v>
      </c>
      <c r="AB87" s="211" t="str">
        <f t="shared" si="13"/>
        <v>GoldBangalore Refinery</v>
      </c>
    </row>
    <row r="88" spans="1:28" s="210" customFormat="1" ht="63.75">
      <c r="A88" s="165" t="s">
        <v>2342</v>
      </c>
      <c r="B88" s="166" t="s">
        <v>1087</v>
      </c>
      <c r="C88" s="170" t="s">
        <v>12465</v>
      </c>
      <c r="D88" s="213"/>
      <c r="E88" s="166" t="s">
        <v>1069</v>
      </c>
      <c r="F88" s="166" t="s">
        <v>2342</v>
      </c>
      <c r="G88" s="166" t="s">
        <v>12764</v>
      </c>
      <c r="H88" s="167">
        <v>0</v>
      </c>
      <c r="I88" s="168" t="s">
        <v>12476</v>
      </c>
      <c r="J88" s="168" t="s">
        <v>12419</v>
      </c>
      <c r="K88" s="207"/>
      <c r="L88" s="207"/>
      <c r="M88" s="207"/>
      <c r="N88" s="207"/>
      <c r="O88" s="207"/>
      <c r="P88" s="169"/>
      <c r="Q88" s="208"/>
      <c r="R88" s="166" t="str">
        <f ca="1">IF(ISERROR($V88),"",OFFSET('Smelter Look-up'!$C$4,$V88-4,0)&amp;"")</f>
        <v>SungEel HiMetal Co., Ltd.</v>
      </c>
      <c r="S88" s="165" t="str">
        <f t="shared" ca="1" si="11"/>
        <v>KR</v>
      </c>
      <c r="T88" s="165" t="str">
        <f ca="1">IF(B88="","",IF(ISERROR(MATCH($J88,SorP!$B$1:$B$6261,0)),"",INDIRECT("'SorP'!$A$"&amp;MATCH($S88&amp;$J88,SorP!C:C,0))))</f>
        <v>KR-45</v>
      </c>
      <c r="U88" s="185"/>
      <c r="V88" s="209">
        <f>IF(C88="",NA(),IF(OR(C88="Smelter not listed",C88="Smelter not yet identified"),MATCH($B88&amp;$D88,'Smelter Look-up'!$J:$J,0),MATCH($B88&amp;$C88,'Smelter Look-up'!$J:$J,0)))</f>
        <v>291</v>
      </c>
      <c r="X88" s="210">
        <f t="shared" si="12"/>
        <v>0</v>
      </c>
      <c r="AB88" s="211" t="str">
        <f t="shared" si="13"/>
        <v>GoldSungEel HiMetal Co., Ltd.</v>
      </c>
    </row>
    <row r="89" spans="1:28" s="210" customFormat="1" ht="89.25">
      <c r="A89" s="165" t="s">
        <v>2404</v>
      </c>
      <c r="B89" s="166" t="s">
        <v>1087</v>
      </c>
      <c r="C89" s="170" t="s">
        <v>2403</v>
      </c>
      <c r="D89" s="213"/>
      <c r="E89" s="166" t="s">
        <v>1057</v>
      </c>
      <c r="F89" s="166" t="s">
        <v>2404</v>
      </c>
      <c r="G89" s="166" t="s">
        <v>12764</v>
      </c>
      <c r="H89" s="167">
        <v>0</v>
      </c>
      <c r="I89" s="168" t="s">
        <v>2405</v>
      </c>
      <c r="J89" s="168" t="s">
        <v>2406</v>
      </c>
      <c r="K89" s="207"/>
      <c r="L89" s="207"/>
      <c r="M89" s="207"/>
      <c r="N89" s="207"/>
      <c r="O89" s="207"/>
      <c r="P89" s="169"/>
      <c r="Q89" s="208"/>
      <c r="R89" s="166" t="str">
        <f ca="1">IF(ISERROR($V89),"",OFFSET('Smelter Look-up'!$C$4,$V89-4,0)&amp;"")</f>
        <v>Planta Recuperadora de Metales SpA</v>
      </c>
      <c r="S89" s="165" t="str">
        <f t="shared" ca="1" si="11"/>
        <v>CL</v>
      </c>
      <c r="T89" s="165" t="str">
        <f ca="1">IF(B89="","",IF(ISERROR(MATCH($J89,SorP!$B$1:$B$6261,0)),"",INDIRECT("'SorP'!$A$"&amp;MATCH($S89&amp;$J89,SorP!C:C,0))))</f>
        <v>CL-AN</v>
      </c>
      <c r="U89" s="185"/>
      <c r="V89" s="209">
        <f>IF(C89="",NA(),IF(OR(C89="Smelter not listed",C89="Smelter not yet identified"),MATCH($B89&amp;$D89,'Smelter Look-up'!$J:$J,0),MATCH($B89&amp;$C89,'Smelter Look-up'!$J:$J,0)))</f>
        <v>234</v>
      </c>
      <c r="X89" s="210">
        <f t="shared" si="12"/>
        <v>0</v>
      </c>
      <c r="AB89" s="211" t="str">
        <f t="shared" si="13"/>
        <v>GoldPlanta Recuperadora de Metales SpA</v>
      </c>
    </row>
    <row r="90" spans="1:28" s="210" customFormat="1" ht="63.75">
      <c r="A90" s="165" t="s">
        <v>12462</v>
      </c>
      <c r="B90" s="166" t="s">
        <v>1087</v>
      </c>
      <c r="C90" s="170" t="s">
        <v>12461</v>
      </c>
      <c r="D90" s="213"/>
      <c r="E90" s="166" t="s">
        <v>1069</v>
      </c>
      <c r="F90" s="166" t="s">
        <v>12462</v>
      </c>
      <c r="G90" s="166" t="s">
        <v>12764</v>
      </c>
      <c r="H90" s="167">
        <v>0</v>
      </c>
      <c r="I90" s="168" t="s">
        <v>12475</v>
      </c>
      <c r="J90" s="168" t="s">
        <v>12416</v>
      </c>
      <c r="K90" s="207"/>
      <c r="L90" s="207"/>
      <c r="M90" s="207"/>
      <c r="N90" s="207"/>
      <c r="O90" s="207"/>
      <c r="P90" s="169"/>
      <c r="Q90" s="208"/>
      <c r="R90" s="166" t="str">
        <f ca="1">IF(ISERROR($V90),"",OFFSET('Smelter Look-up'!$C$4,$V90-4,0)&amp;"")</f>
        <v>NH Recytech Company</v>
      </c>
      <c r="S90" s="165" t="str">
        <f t="shared" ca="1" si="11"/>
        <v>KR</v>
      </c>
      <c r="T90" s="165" t="str">
        <f ca="1">IF(B90="","",IF(ISERROR(MATCH($J90,SorP!$B$1:$B$6261,0)),"",INDIRECT("'SorP'!$A$"&amp;MATCH($S90&amp;$J90,SorP!C:C,0))))</f>
        <v>KR-41</v>
      </c>
      <c r="U90" s="185"/>
      <c r="V90" s="209">
        <f>IF(C90="",NA(),IF(OR(C90="Smelter not listed",C90="Smelter not yet identified"),MATCH($B90&amp;$D90,'Smelter Look-up'!$J:$J,0),MATCH($B90&amp;$C90,'Smelter Look-up'!$J:$J,0)))</f>
        <v>216</v>
      </c>
      <c r="X90" s="210">
        <f t="shared" si="12"/>
        <v>0</v>
      </c>
      <c r="AB90" s="211" t="str">
        <f t="shared" si="13"/>
        <v>GoldNH Recytech Company</v>
      </c>
    </row>
    <row r="91" spans="1:28" s="210" customFormat="1" ht="89.25">
      <c r="A91" s="165" t="s">
        <v>13342</v>
      </c>
      <c r="B91" s="166" t="s">
        <v>1087</v>
      </c>
      <c r="C91" s="170" t="s">
        <v>13322</v>
      </c>
      <c r="D91" s="213"/>
      <c r="E91" s="166" t="s">
        <v>1066</v>
      </c>
      <c r="F91" s="166" t="s">
        <v>13342</v>
      </c>
      <c r="G91" s="166" t="s">
        <v>12764</v>
      </c>
      <c r="H91" s="167">
        <v>0</v>
      </c>
      <c r="I91" s="168" t="s">
        <v>13356</v>
      </c>
      <c r="J91" s="168" t="s">
        <v>1527</v>
      </c>
      <c r="K91" s="207"/>
      <c r="L91" s="207"/>
      <c r="M91" s="207"/>
      <c r="N91" s="207"/>
      <c r="O91" s="207"/>
      <c r="P91" s="169"/>
      <c r="Q91" s="208"/>
      <c r="R91" s="166" t="str">
        <f ca="1">IF(ISERROR($V91),"",OFFSET('Smelter Look-up'!$C$4,$V91-4,0)&amp;"")</f>
        <v>Eco-System Recycling Co., Ltd. North Plant</v>
      </c>
      <c r="S91" s="165" t="str">
        <f t="shared" ca="1" si="11"/>
        <v>JP</v>
      </c>
      <c r="T91" s="165" t="str">
        <f ca="1">IF(B91="","",IF(ISERROR(MATCH($J91,SorP!$B$1:$B$6261,0)),"",INDIRECT("'SorP'!$A$"&amp;MATCH($S91&amp;$J91,SorP!C:C,0))))</f>
        <v>JP-05</v>
      </c>
      <c r="U91" s="185"/>
      <c r="V91" s="209">
        <f>IF(C91="",NA(),IF(OR(C91="Smelter not listed",C91="Smelter not yet identified"),MATCH($B91&amp;$D91,'Smelter Look-up'!$J:$J,0),MATCH($B91&amp;$C91,'Smelter Look-up'!$J:$J,0)))</f>
        <v>85</v>
      </c>
      <c r="X91" s="210">
        <f t="shared" si="12"/>
        <v>0</v>
      </c>
      <c r="AB91" s="211" t="str">
        <f t="shared" si="13"/>
        <v>GoldEco-System Recycling Co., Ltd. North Plant</v>
      </c>
    </row>
    <row r="92" spans="1:28" s="210" customFormat="1" ht="89.25">
      <c r="A92" s="165" t="s">
        <v>13343</v>
      </c>
      <c r="B92" s="166" t="s">
        <v>1087</v>
      </c>
      <c r="C92" s="170" t="s">
        <v>13323</v>
      </c>
      <c r="D92" s="213"/>
      <c r="E92" s="166" t="s">
        <v>1066</v>
      </c>
      <c r="F92" s="166" t="s">
        <v>13343</v>
      </c>
      <c r="G92" s="166" t="s">
        <v>12764</v>
      </c>
      <c r="H92" s="167">
        <v>0</v>
      </c>
      <c r="I92" s="168" t="s">
        <v>6513</v>
      </c>
      <c r="J92" s="168" t="s">
        <v>6513</v>
      </c>
      <c r="K92" s="207"/>
      <c r="L92" s="207"/>
      <c r="M92" s="207"/>
      <c r="N92" s="207"/>
      <c r="O92" s="207"/>
      <c r="P92" s="169"/>
      <c r="Q92" s="208"/>
      <c r="R92" s="166" t="str">
        <f ca="1">IF(ISERROR($V92),"",OFFSET('Smelter Look-up'!$C$4,$V92-4,0)&amp;"")</f>
        <v>Eco-System Recycling Co., Ltd. West Plant</v>
      </c>
      <c r="S92" s="165" t="str">
        <f t="shared" ca="1" si="11"/>
        <v>JP</v>
      </c>
      <c r="T92" s="165" t="str">
        <f ca="1">IF(B92="","",IF(ISERROR(MATCH($J92,SorP!$B$1:$B$6261,0)),"",INDIRECT("'SorP'!$A$"&amp;MATCH($S92&amp;$J92,SorP!C:C,0))))</f>
        <v>JP-33</v>
      </c>
      <c r="U92" s="185"/>
      <c r="V92" s="209">
        <f>IF(C92="",NA(),IF(OR(C92="Smelter not listed",C92="Smelter not yet identified"),MATCH($B92&amp;$D92,'Smelter Look-up'!$J:$J,0),MATCH($B92&amp;$C92,'Smelter Look-up'!$J:$J,0)))</f>
        <v>86</v>
      </c>
      <c r="X92" s="210">
        <f t="shared" si="12"/>
        <v>0</v>
      </c>
      <c r="AB92" s="211" t="str">
        <f t="shared" si="13"/>
        <v>GoldEco-System Recycling Co., Ltd. West Plant</v>
      </c>
    </row>
    <row r="93" spans="1:28" s="210" customFormat="1" ht="89.25">
      <c r="A93" s="165" t="s">
        <v>14509</v>
      </c>
      <c r="B93" s="166" t="s">
        <v>1087</v>
      </c>
      <c r="C93" s="170" t="s">
        <v>14508</v>
      </c>
      <c r="D93" s="213"/>
      <c r="E93" s="166" t="s">
        <v>853</v>
      </c>
      <c r="F93" s="166" t="s">
        <v>14509</v>
      </c>
      <c r="G93" s="166" t="s">
        <v>12764</v>
      </c>
      <c r="H93" s="167">
        <v>0</v>
      </c>
      <c r="I93" s="168" t="s">
        <v>14854</v>
      </c>
      <c r="J93" s="168" t="s">
        <v>1584</v>
      </c>
      <c r="K93" s="207"/>
      <c r="L93" s="207"/>
      <c r="M93" s="207"/>
      <c r="N93" s="207"/>
      <c r="O93" s="207"/>
      <c r="P93" s="169"/>
      <c r="Q93" s="208"/>
      <c r="R93" s="166" t="str">
        <f ca="1">IF(ISERROR($V93),"",OFFSET('Smelter Look-up'!$C$4,$V93-4,0)&amp;"")</f>
        <v>Metal Concentrators SA (Pty) Ltd.</v>
      </c>
      <c r="S93" s="165" t="str">
        <f t="shared" ca="1" si="11"/>
        <v>ZA</v>
      </c>
      <c r="T93" s="165" t="str">
        <f ca="1">IF(B93="","",IF(ISERROR(MATCH($J93,SorP!$B$1:$B$6261,0)),"",INDIRECT("'SorP'!$A$"&amp;MATCH($S93&amp;$J93,SorP!C:C,0))))</f>
        <v>ZA-GP</v>
      </c>
      <c r="U93" s="185"/>
      <c r="V93" s="209">
        <f>IF(C93="",NA(),IF(OR(C93="Smelter not listed",C93="Smelter not yet identified"),MATCH($B93&amp;$D93,'Smelter Look-up'!$J:$J,0),MATCH($B93&amp;$C93,'Smelter Look-up'!$J:$J,0)))</f>
        <v>188</v>
      </c>
      <c r="X93" s="210">
        <f t="shared" si="12"/>
        <v>0</v>
      </c>
      <c r="AB93" s="211" t="str">
        <f t="shared" si="13"/>
        <v>GoldMetal Concentrators SA (Pty) Ltd.</v>
      </c>
    </row>
    <row r="94" spans="1:28" s="210" customFormat="1" ht="51">
      <c r="A94" s="165" t="s">
        <v>14852</v>
      </c>
      <c r="B94" s="166" t="s">
        <v>1087</v>
      </c>
      <c r="C94" s="170" t="s">
        <v>14851</v>
      </c>
      <c r="D94" s="213"/>
      <c r="E94" s="166" t="s">
        <v>12522</v>
      </c>
      <c r="F94" s="166" t="s">
        <v>14852</v>
      </c>
      <c r="G94" s="166" t="s">
        <v>12764</v>
      </c>
      <c r="H94" s="167">
        <v>0</v>
      </c>
      <c r="I94" s="168" t="s">
        <v>14853</v>
      </c>
      <c r="J94" s="168" t="s">
        <v>3832</v>
      </c>
      <c r="K94" s="207"/>
      <c r="L94" s="207"/>
      <c r="M94" s="207"/>
      <c r="N94" s="207"/>
      <c r="O94" s="207"/>
      <c r="P94" s="169"/>
      <c r="Q94" s="208"/>
      <c r="R94" s="166" t="str">
        <f ca="1">IF(ISERROR($V94),"",OFFSET('Smelter Look-up'!$C$4,$V94-4,0)&amp;"")</f>
        <v>Gold by Gold Colombia</v>
      </c>
      <c r="S94" s="165" t="str">
        <f t="shared" ca="1" si="11"/>
        <v>CO</v>
      </c>
      <c r="T94" s="165" t="str">
        <f ca="1">IF(B94="","",IF(ISERROR(MATCH($J94,SorP!$B$1:$B$6261,0)),"",INDIRECT("'SorP'!$A$"&amp;MATCH($S94&amp;$J94,SorP!C:C,0))))</f>
        <v>CO-ANT</v>
      </c>
      <c r="U94" s="185"/>
      <c r="V94" s="209">
        <f>IF(C94="",NA(),IF(OR(C94="Smelter not listed",C94="Smelter not yet identified"),MATCH($B94&amp;$D94,'Smelter Look-up'!$J:$J,0),MATCH($B94&amp;$C94,'Smelter Look-up'!$J:$J,0)))</f>
        <v>107</v>
      </c>
      <c r="X94" s="210">
        <f t="shared" si="12"/>
        <v>0</v>
      </c>
      <c r="AB94" s="211" t="str">
        <f t="shared" si="13"/>
        <v>GoldGold by Gold Colombia</v>
      </c>
    </row>
    <row r="95" spans="1:28" s="210" customFormat="1" ht="63.75">
      <c r="A95" s="165" t="s">
        <v>719</v>
      </c>
      <c r="B95" s="166" t="s">
        <v>1089</v>
      </c>
      <c r="C95" s="170" t="s">
        <v>43</v>
      </c>
      <c r="D95" s="213"/>
      <c r="E95" s="166" t="s">
        <v>1058</v>
      </c>
      <c r="F95" s="166" t="s">
        <v>719</v>
      </c>
      <c r="G95" s="166" t="s">
        <v>12764</v>
      </c>
      <c r="H95" s="167">
        <v>0</v>
      </c>
      <c r="I95" s="168" t="s">
        <v>1640</v>
      </c>
      <c r="J95" s="168" t="s">
        <v>13122</v>
      </c>
      <c r="K95" s="207"/>
      <c r="L95" s="207"/>
      <c r="M95" s="207"/>
      <c r="N95" s="207"/>
      <c r="O95" s="207"/>
      <c r="P95" s="169"/>
      <c r="Q95" s="208"/>
      <c r="R95" s="166" t="str">
        <f ca="1">IF(ISERROR($V95),"",OFFSET('Smelter Look-up'!$C$4,$V95-4,0)&amp;"")</f>
        <v>F&amp;X Electro-Materials Ltd.</v>
      </c>
      <c r="S95" s="165" t="str">
        <f t="shared" ca="1" si="11"/>
        <v>CN</v>
      </c>
      <c r="T95" s="165" t="str">
        <f ca="1">IF(B95="","",IF(ISERROR(MATCH($J95,SorP!$B$1:$B$6261,0)),"",INDIRECT("'SorP'!$A$"&amp;MATCH($S95&amp;$J95,SorP!C:C,0))))</f>
        <v>CN-GD</v>
      </c>
      <c r="U95" s="185"/>
      <c r="V95" s="209">
        <f>IF(C95="",NA(),IF(OR(C95="Smelter not listed",C95="Smelter not yet identified"),MATCH($B95&amp;$D95,'Smelter Look-up'!$J:$J,0),MATCH($B95&amp;$C95,'Smelter Look-up'!$J:$J,0)))</f>
        <v>356</v>
      </c>
      <c r="X95" s="210">
        <f t="shared" si="12"/>
        <v>0</v>
      </c>
      <c r="AB95" s="211" t="str">
        <f t="shared" si="13"/>
        <v>TantalumF&amp;X Electro-Materials Ltd.</v>
      </c>
    </row>
    <row r="96" spans="1:28" s="210" customFormat="1" ht="89.25">
      <c r="A96" s="165" t="s">
        <v>721</v>
      </c>
      <c r="B96" s="166" t="s">
        <v>1089</v>
      </c>
      <c r="C96" s="170" t="s">
        <v>14518</v>
      </c>
      <c r="D96" s="213"/>
      <c r="E96" s="166" t="s">
        <v>1058</v>
      </c>
      <c r="F96" s="166" t="s">
        <v>721</v>
      </c>
      <c r="G96" s="166" t="s">
        <v>12764</v>
      </c>
      <c r="H96" s="167">
        <v>0</v>
      </c>
      <c r="I96" s="168" t="s">
        <v>1642</v>
      </c>
      <c r="J96" s="168" t="s">
        <v>13122</v>
      </c>
      <c r="K96" s="207"/>
      <c r="L96" s="207"/>
      <c r="M96" s="207"/>
      <c r="N96" s="207"/>
      <c r="O96" s="207"/>
      <c r="P96" s="169"/>
      <c r="Q96" s="208"/>
      <c r="R96" s="166" t="str">
        <f ca="1">IF(ISERROR($V96),"",OFFSET('Smelter Look-up'!$C$4,$V96-4,0)&amp;"")</f>
        <v>XIMEI RESOURCES (GUANGDONG) LIMITED</v>
      </c>
      <c r="S96" s="165" t="str">
        <f t="shared" ca="1" si="11"/>
        <v>CN</v>
      </c>
      <c r="T96" s="165" t="str">
        <f ca="1">IF(B96="","",IF(ISERROR(MATCH($J96,SorP!$B$1:$B$6261,0)),"",INDIRECT("'SorP'!$A$"&amp;MATCH($S96&amp;$J96,SorP!C:C,0))))</f>
        <v>CN-GD</v>
      </c>
      <c r="U96" s="185"/>
      <c r="V96" s="209">
        <f>IF(C96="",NA(),IF(OR(C96="Smelter not listed",C96="Smelter not yet identified"),MATCH($B96&amp;$D96,'Smelter Look-up'!$J:$J,0),MATCH($B96&amp;$C96,'Smelter Look-up'!$J:$J,0)))</f>
        <v>410</v>
      </c>
      <c r="X96" s="210">
        <f t="shared" si="12"/>
        <v>0</v>
      </c>
      <c r="AB96" s="211" t="str">
        <f t="shared" si="13"/>
        <v>TantalumXIMEI RESOURCES (GUANGDONG) LIMITED</v>
      </c>
    </row>
    <row r="97" spans="1:28" s="210" customFormat="1" ht="102">
      <c r="A97" s="165" t="s">
        <v>722</v>
      </c>
      <c r="B97" s="166" t="s">
        <v>1089</v>
      </c>
      <c r="C97" s="170" t="s">
        <v>2</v>
      </c>
      <c r="D97" s="213"/>
      <c r="E97" s="166" t="s">
        <v>1058</v>
      </c>
      <c r="F97" s="166" t="s">
        <v>722</v>
      </c>
      <c r="G97" s="166" t="s">
        <v>12764</v>
      </c>
      <c r="H97" s="167">
        <v>0</v>
      </c>
      <c r="I97" s="168" t="s">
        <v>1643</v>
      </c>
      <c r="J97" s="168" t="s">
        <v>13117</v>
      </c>
      <c r="K97" s="207"/>
      <c r="L97" s="207"/>
      <c r="M97" s="207"/>
      <c r="N97" s="207"/>
      <c r="O97" s="207"/>
      <c r="P97" s="169"/>
      <c r="Q97" s="208"/>
      <c r="R97" s="166" t="str">
        <f ca="1">IF(ISERROR($V97),"",OFFSET('Smelter Look-up'!$C$4,$V97-4,0)&amp;"")</f>
        <v>JiuJiang JinXin Nonferrous Metals Co., Ltd.</v>
      </c>
      <c r="S97" s="165" t="str">
        <f t="shared" ca="1" si="11"/>
        <v>CN</v>
      </c>
      <c r="T97" s="165" t="str">
        <f ca="1">IF(B97="","",IF(ISERROR(MATCH($J97,SorP!$B$1:$B$6261,0)),"",INDIRECT("'SorP'!$A$"&amp;MATCH($S97&amp;$J97,SorP!C:C,0))))</f>
        <v>CN-JX</v>
      </c>
      <c r="U97" s="185"/>
      <c r="V97" s="209">
        <f>IF(C97="",NA(),IF(OR(C97="Smelter not listed",C97="Smelter not yet identified"),MATCH($B97&amp;$D97,'Smelter Look-up'!$J:$J,0),MATCH($B97&amp;$C97,'Smelter Look-up'!$J:$J,0)))</f>
        <v>372</v>
      </c>
      <c r="X97" s="210">
        <f t="shared" si="12"/>
        <v>0</v>
      </c>
      <c r="AB97" s="211" t="str">
        <f t="shared" si="13"/>
        <v>TantalumJiuJiang JinXin Nonferrous Metals Co., Ltd.</v>
      </c>
    </row>
    <row r="98" spans="1:28" s="210" customFormat="1" ht="76.5">
      <c r="A98" s="165" t="s">
        <v>723</v>
      </c>
      <c r="B98" s="166" t="s">
        <v>1089</v>
      </c>
      <c r="C98" s="170" t="s">
        <v>44</v>
      </c>
      <c r="D98" s="213"/>
      <c r="E98" s="166" t="s">
        <v>1058</v>
      </c>
      <c r="F98" s="166" t="s">
        <v>723</v>
      </c>
      <c r="G98" s="166" t="s">
        <v>12764</v>
      </c>
      <c r="H98" s="167">
        <v>0</v>
      </c>
      <c r="I98" s="168" t="s">
        <v>1643</v>
      </c>
      <c r="J98" s="168" t="s">
        <v>13117</v>
      </c>
      <c r="K98" s="207"/>
      <c r="L98" s="207"/>
      <c r="M98" s="207"/>
      <c r="N98" s="207"/>
      <c r="O98" s="207"/>
      <c r="P98" s="169"/>
      <c r="Q98" s="208"/>
      <c r="R98" s="166" t="str">
        <f ca="1">IF(ISERROR($V98),"",OFFSET('Smelter Look-up'!$C$4,$V98-4,0)&amp;"")</f>
        <v>Jiujiang Tanbre Co., Ltd.</v>
      </c>
      <c r="S98" s="165" t="str">
        <f t="shared" ca="1" si="11"/>
        <v>CN</v>
      </c>
      <c r="T98" s="165" t="str">
        <f ca="1">IF(B98="","",IF(ISERROR(MATCH($J98,SorP!$B$1:$B$6261,0)),"",INDIRECT("'SorP'!$A$"&amp;MATCH($S98&amp;$J98,SorP!C:C,0))))</f>
        <v>CN-JX</v>
      </c>
      <c r="U98" s="185"/>
      <c r="V98" s="209">
        <f>IF(C98="",NA(),IF(OR(C98="Smelter not listed",C98="Smelter not yet identified"),MATCH($B98&amp;$D98,'Smelter Look-up'!$J:$J,0),MATCH($B98&amp;$C98,'Smelter Look-up'!$J:$J,0)))</f>
        <v>374</v>
      </c>
      <c r="X98" s="210">
        <f t="shared" si="12"/>
        <v>0</v>
      </c>
      <c r="AB98" s="211" t="str">
        <f t="shared" si="13"/>
        <v>TantalumJiujiang Tanbre Co., Ltd.</v>
      </c>
    </row>
    <row r="99" spans="1:28" s="210" customFormat="1" ht="38.25">
      <c r="A99" s="165" t="s">
        <v>724</v>
      </c>
      <c r="B99" s="166" t="s">
        <v>1089</v>
      </c>
      <c r="C99" s="170" t="s">
        <v>14866</v>
      </c>
      <c r="D99" s="213"/>
      <c r="E99" s="166" t="s">
        <v>1054</v>
      </c>
      <c r="F99" s="166" t="s">
        <v>724</v>
      </c>
      <c r="G99" s="166" t="s">
        <v>12764</v>
      </c>
      <c r="H99" s="167">
        <v>0</v>
      </c>
      <c r="I99" s="168" t="s">
        <v>1644</v>
      </c>
      <c r="J99" s="168" t="s">
        <v>1503</v>
      </c>
      <c r="K99" s="207"/>
      <c r="L99" s="207"/>
      <c r="M99" s="207"/>
      <c r="N99" s="207"/>
      <c r="O99" s="207"/>
      <c r="P99" s="169"/>
      <c r="Q99" s="208"/>
      <c r="R99" s="166" t="str">
        <f ca="1">IF(ISERROR($V99),"",OFFSET('Smelter Look-up'!$C$4,$V99-4,0)&amp;"")</f>
        <v>AMG Brasil</v>
      </c>
      <c r="S99" s="165" t="str">
        <f t="shared" ca="1" si="11"/>
        <v>BR</v>
      </c>
      <c r="T99" s="165" t="str">
        <f ca="1">IF(B99="","",IF(ISERROR(MATCH($J99,SorP!$B$1:$B$6261,0)),"",INDIRECT("'SorP'!$A$"&amp;MATCH($S99&amp;$J99,SorP!C:C,0))))</f>
        <v>BR-MG</v>
      </c>
      <c r="U99" s="185"/>
      <c r="V99" s="209">
        <f>IF(C99="",NA(),IF(OR(C99="Smelter not listed",C99="Smelter not yet identified"),MATCH($B99&amp;$D99,'Smelter Look-up'!$J:$J,0),MATCH($B99&amp;$C99,'Smelter Look-up'!$J:$J,0)))</f>
        <v>352</v>
      </c>
      <c r="X99" s="210">
        <f t="shared" si="12"/>
        <v>0</v>
      </c>
      <c r="AB99" s="211" t="str">
        <f t="shared" si="13"/>
        <v>TantalumAMG Brasil</v>
      </c>
    </row>
    <row r="100" spans="1:28" s="210" customFormat="1" ht="89.25">
      <c r="A100" s="165" t="s">
        <v>725</v>
      </c>
      <c r="B100" s="166" t="s">
        <v>1089</v>
      </c>
      <c r="C100" s="170" t="s">
        <v>2060</v>
      </c>
      <c r="D100" s="213"/>
      <c r="E100" s="166" t="s">
        <v>1064</v>
      </c>
      <c r="F100" s="166" t="s">
        <v>725</v>
      </c>
      <c r="G100" s="166" t="s">
        <v>12764</v>
      </c>
      <c r="H100" s="167">
        <v>0</v>
      </c>
      <c r="I100" s="168" t="s">
        <v>1645</v>
      </c>
      <c r="J100" s="168" t="s">
        <v>14845</v>
      </c>
      <c r="K100" s="207"/>
      <c r="L100" s="207"/>
      <c r="M100" s="207"/>
      <c r="N100" s="207"/>
      <c r="O100" s="207"/>
      <c r="P100" s="169"/>
      <c r="Q100" s="208"/>
      <c r="R100" s="166" t="str">
        <f ca="1">IF(ISERROR($V100),"",OFFSET('Smelter Look-up'!$C$4,$V100-4,0)&amp;"")</f>
        <v>Metallurgical Products India Pvt., Ltd.</v>
      </c>
      <c r="S100" s="165" t="str">
        <f t="shared" ca="1" si="11"/>
        <v>IN</v>
      </c>
      <c r="T100" s="165" t="str">
        <f ca="1">IF(B100="","",IF(ISERROR(MATCH($J100,SorP!$B$1:$B$6261,0)),"",INDIRECT("'SorP'!$A$"&amp;MATCH($S100&amp;$J100,SorP!C:C,0))))</f>
        <v>IN-MH</v>
      </c>
      <c r="U100" s="185"/>
      <c r="V100" s="209">
        <f>IF(C100="",NA(),IF(OR(C100="Smelter not listed",C100="Smelter not yet identified"),MATCH($B100&amp;$D100,'Smelter Look-up'!$J:$J,0),MATCH($B100&amp;$C100,'Smelter Look-up'!$J:$J,0)))</f>
        <v>381</v>
      </c>
      <c r="X100" s="210">
        <f t="shared" si="12"/>
        <v>0</v>
      </c>
      <c r="AB100" s="211" t="str">
        <f t="shared" si="13"/>
        <v>TantalumMetallurgical Products India Pvt., Ltd.</v>
      </c>
    </row>
    <row r="101" spans="1:28" s="210" customFormat="1" ht="63.75">
      <c r="A101" s="165" t="s">
        <v>726</v>
      </c>
      <c r="B101" s="166" t="s">
        <v>1089</v>
      </c>
      <c r="C101" s="170" t="s">
        <v>11981</v>
      </c>
      <c r="D101" s="213"/>
      <c r="E101" s="166" t="s">
        <v>1054</v>
      </c>
      <c r="F101" s="166" t="s">
        <v>726</v>
      </c>
      <c r="G101" s="166" t="s">
        <v>12764</v>
      </c>
      <c r="H101" s="167">
        <v>0</v>
      </c>
      <c r="I101" s="168" t="s">
        <v>1647</v>
      </c>
      <c r="J101" s="168" t="s">
        <v>1648</v>
      </c>
      <c r="K101" s="207"/>
      <c r="L101" s="207"/>
      <c r="M101" s="207"/>
      <c r="N101" s="207"/>
      <c r="O101" s="207"/>
      <c r="P101" s="169"/>
      <c r="Q101" s="208"/>
      <c r="R101" s="166" t="str">
        <f ca="1">IF(ISERROR($V101),"",OFFSET('Smelter Look-up'!$C$4,$V101-4,0)&amp;"")</f>
        <v>Mineracao Taboca S.A.</v>
      </c>
      <c r="S101" s="165" t="str">
        <f t="shared" ca="1" si="11"/>
        <v>BR</v>
      </c>
      <c r="T101" s="165" t="str">
        <f ca="1">IF(B101="","",IF(ISERROR(MATCH($J101,SorP!$B$1:$B$6261,0)),"",INDIRECT("'SorP'!$A$"&amp;MATCH($S101&amp;$J101,SorP!C:C,0))))</f>
        <v>BR-AM</v>
      </c>
      <c r="U101" s="185"/>
      <c r="V101" s="209">
        <f>IF(C101="",NA(),IF(OR(C101="Smelter not listed",C101="Smelter not yet identified"),MATCH($B101&amp;$D101,'Smelter Look-up'!$J:$J,0),MATCH($B101&amp;$C101,'Smelter Look-up'!$J:$J,0)))</f>
        <v>382</v>
      </c>
      <c r="X101" s="210">
        <f t="shared" si="12"/>
        <v>0</v>
      </c>
      <c r="AB101" s="211" t="str">
        <f t="shared" si="13"/>
        <v>TantalumMineracao Taboca S.A.</v>
      </c>
    </row>
    <row r="102" spans="1:28" s="210" customFormat="1" ht="89.25">
      <c r="A102" s="165" t="s">
        <v>727</v>
      </c>
      <c r="B102" s="166" t="s">
        <v>1089</v>
      </c>
      <c r="C102" s="170" t="s">
        <v>1184</v>
      </c>
      <c r="D102" s="213"/>
      <c r="E102" s="166" t="s">
        <v>1066</v>
      </c>
      <c r="F102" s="166" t="s">
        <v>727</v>
      </c>
      <c r="G102" s="166" t="s">
        <v>12764</v>
      </c>
      <c r="H102" s="167">
        <v>0</v>
      </c>
      <c r="I102" s="168" t="s">
        <v>1649</v>
      </c>
      <c r="J102" s="168" t="s">
        <v>1650</v>
      </c>
      <c r="K102" s="207"/>
      <c r="L102" s="207"/>
      <c r="M102" s="207"/>
      <c r="N102" s="207"/>
      <c r="O102" s="207"/>
      <c r="P102" s="169"/>
      <c r="Q102" s="208"/>
      <c r="R102" s="166" t="str">
        <f ca="1">IF(ISERROR($V102),"",OFFSET('Smelter Look-up'!$C$4,$V102-4,0)&amp;"")</f>
        <v>Mitsui Kinzoku Company, Limited</v>
      </c>
      <c r="S102" s="165" t="str">
        <f t="shared" ref="S102:S132" ca="1" si="14">IF(B102="","",IF(ISERROR(MATCH($E102,CL,0)),"Unknown",INDIRECT("'C'!$A$"&amp;MATCH($E102,CL,0)+1)))</f>
        <v>JP</v>
      </c>
      <c r="T102" s="165" t="str">
        <f ca="1">IF(B102="","",IF(ISERROR(MATCH($J102,SorP!$B$1:$B$6261,0)),"",INDIRECT("'SorP'!$A$"&amp;MATCH($S102&amp;$J102,SorP!C:C,0))))</f>
        <v>JP-40</v>
      </c>
      <c r="U102" s="185"/>
      <c r="V102" s="209">
        <f>IF(C102="",NA(),IF(OR(C102="Smelter not listed",C102="Smelter not yet identified"),MATCH($B102&amp;$D102,'Smelter Look-up'!$J:$J,0),MATCH($B102&amp;$C102,'Smelter Look-up'!$J:$J,0)))</f>
        <v>387</v>
      </c>
      <c r="X102" s="210">
        <f t="shared" ref="X102:X132" si="15">IF(AND(C102="Smelter not listed",OR(LEN(D102)=0,LEN(E102)=0)),1,0)</f>
        <v>0</v>
      </c>
      <c r="AB102" s="211" t="str">
        <f t="shared" ref="AB102:AB132" si="16">B102&amp;C102</f>
        <v>TantalumMitsui Mining and Smelting Co., Ltd.</v>
      </c>
    </row>
    <row r="103" spans="1:28" s="210" customFormat="1" ht="51">
      <c r="A103" s="165" t="s">
        <v>728</v>
      </c>
      <c r="B103" s="166" t="s">
        <v>1089</v>
      </c>
      <c r="C103" s="170" t="s">
        <v>2416</v>
      </c>
      <c r="D103" s="213"/>
      <c r="E103" s="166" t="s">
        <v>1061</v>
      </c>
      <c r="F103" s="166" t="s">
        <v>728</v>
      </c>
      <c r="G103" s="166" t="s">
        <v>12764</v>
      </c>
      <c r="H103" s="167">
        <v>0</v>
      </c>
      <c r="I103" s="168" t="s">
        <v>1651</v>
      </c>
      <c r="J103" s="168" t="s">
        <v>1652</v>
      </c>
      <c r="K103" s="207"/>
      <c r="L103" s="207"/>
      <c r="M103" s="207"/>
      <c r="N103" s="207"/>
      <c r="O103" s="207"/>
      <c r="P103" s="169"/>
      <c r="Q103" s="208"/>
      <c r="R103" s="166" t="str">
        <f ca="1">IF(ISERROR($V103),"",OFFSET('Smelter Look-up'!$C$4,$V103-4,0)&amp;"")</f>
        <v>NPM Silmet AS</v>
      </c>
      <c r="S103" s="165" t="str">
        <f t="shared" ca="1" si="14"/>
        <v>EE</v>
      </c>
      <c r="T103" s="165" t="str">
        <f ca="1">IF(B103="","",IF(ISERROR(MATCH($J103,SorP!$B$1:$B$6261,0)),"",INDIRECT("'SorP'!$A$"&amp;MATCH($S103&amp;$J103,SorP!C:C,0))))</f>
        <v>EE-45</v>
      </c>
      <c r="U103" s="185"/>
      <c r="V103" s="209">
        <f>IF(C103="",NA(),IF(OR(C103="Smelter not listed",C103="Smelter not yet identified"),MATCH($B103&amp;$D103,'Smelter Look-up'!$J:$J,0),MATCH($B103&amp;$C103,'Smelter Look-up'!$J:$J,0)))</f>
        <v>391</v>
      </c>
      <c r="X103" s="210">
        <f t="shared" si="15"/>
        <v>0</v>
      </c>
      <c r="AB103" s="211" t="str">
        <f t="shared" si="16"/>
        <v>TantalumNPM Silmet AS</v>
      </c>
    </row>
    <row r="104" spans="1:28" s="210" customFormat="1" ht="102">
      <c r="A104" s="165" t="s">
        <v>729</v>
      </c>
      <c r="B104" s="166" t="s">
        <v>1089</v>
      </c>
      <c r="C104" s="170" t="s">
        <v>988</v>
      </c>
      <c r="D104" s="213"/>
      <c r="E104" s="166" t="s">
        <v>1058</v>
      </c>
      <c r="F104" s="166" t="s">
        <v>729</v>
      </c>
      <c r="G104" s="166" t="s">
        <v>12764</v>
      </c>
      <c r="H104" s="167">
        <v>0</v>
      </c>
      <c r="I104" s="168" t="s">
        <v>1653</v>
      </c>
      <c r="J104" s="168" t="s">
        <v>13103</v>
      </c>
      <c r="K104" s="207"/>
      <c r="L104" s="207"/>
      <c r="M104" s="207"/>
      <c r="N104" s="207"/>
      <c r="O104" s="207"/>
      <c r="P104" s="169"/>
      <c r="Q104" s="208"/>
      <c r="R104" s="166" t="str">
        <f ca="1">IF(ISERROR($V104),"",OFFSET('Smelter Look-up'!$C$4,$V104-4,0)&amp;"")</f>
        <v>Ningxia Orient Tantalum Industry Co., Ltd.</v>
      </c>
      <c r="S104" s="165" t="str">
        <f t="shared" ca="1" si="14"/>
        <v>CN</v>
      </c>
      <c r="T104" s="165" t="str">
        <f ca="1">IF(B104="","",IF(ISERROR(MATCH($J104,SorP!$B$1:$B$6261,0)),"",INDIRECT("'SorP'!$A$"&amp;MATCH($S104&amp;$J104,SorP!C:C,0))))</f>
        <v/>
      </c>
      <c r="U104" s="185"/>
      <c r="V104" s="209">
        <f>IF(C104="",NA(),IF(OR(C104="Smelter not listed",C104="Smelter not yet identified"),MATCH($B104&amp;$D104,'Smelter Look-up'!$J:$J,0),MATCH($B104&amp;$C104,'Smelter Look-up'!$J:$J,0)))</f>
        <v>390</v>
      </c>
      <c r="X104" s="210">
        <f t="shared" si="15"/>
        <v>0</v>
      </c>
      <c r="AB104" s="211" t="str">
        <f t="shared" si="16"/>
        <v>TantalumNingxia Orient Tantalum Industry Co., Ltd.</v>
      </c>
    </row>
    <row r="105" spans="1:28" s="210" customFormat="1" ht="38.25">
      <c r="A105" s="165" t="s">
        <v>15941</v>
      </c>
      <c r="B105" s="166" t="s">
        <v>1089</v>
      </c>
      <c r="C105" s="170" t="s">
        <v>15942</v>
      </c>
      <c r="D105" s="213"/>
      <c r="E105" s="166" t="s">
        <v>2323</v>
      </c>
      <c r="F105" s="166" t="s">
        <v>15941</v>
      </c>
      <c r="G105" s="166" t="s">
        <v>12764</v>
      </c>
      <c r="H105" s="167">
        <v>0</v>
      </c>
      <c r="I105" s="168" t="s">
        <v>15943</v>
      </c>
      <c r="J105" s="168" t="s">
        <v>2165</v>
      </c>
      <c r="K105" s="207"/>
      <c r="L105" s="207"/>
      <c r="M105" s="207"/>
      <c r="N105" s="207"/>
      <c r="O105" s="207"/>
      <c r="P105" s="169"/>
      <c r="Q105" s="208"/>
      <c r="R105" s="166" t="str">
        <f ca="1">IF(ISERROR($V105),"",OFFSET('Smelter Look-up'!$C$4,$V105-4,0)&amp;"")</f>
        <v/>
      </c>
      <c r="S105" s="165" t="str">
        <f t="shared" ca="1" si="14"/>
        <v>US</v>
      </c>
      <c r="T105" s="165" t="str">
        <f ca="1">IF(B105="","",IF(ISERROR(MATCH($J105,SorP!$B$1:$B$6261,0)),"",INDIRECT("'SorP'!$A$"&amp;MATCH($S105&amp;$J105,SorP!C:C,0))))</f>
        <v>US-TX</v>
      </c>
      <c r="U105" s="185"/>
      <c r="V105" s="209" t="e">
        <f>IF(C105="",NA(),IF(OR(C105="Smelter not listed",C105="Smelter not yet identified"),MATCH($B105&amp;$D105,'Smelter Look-up'!$J:$J,0),MATCH($B105&amp;$C105,'Smelter Look-up'!$J:$J,0)))</f>
        <v>#N/A</v>
      </c>
      <c r="X105" s="210">
        <f t="shared" si="15"/>
        <v>0</v>
      </c>
      <c r="AB105" s="211" t="str">
        <f t="shared" si="16"/>
        <v>TantalumQuantumClean</v>
      </c>
    </row>
    <row r="106" spans="1:28" s="210" customFormat="1" ht="127.5">
      <c r="A106" s="165" t="s">
        <v>730</v>
      </c>
      <c r="B106" s="166" t="s">
        <v>1089</v>
      </c>
      <c r="C106" s="170" t="s">
        <v>12783</v>
      </c>
      <c r="D106" s="213"/>
      <c r="E106" s="166" t="s">
        <v>1058</v>
      </c>
      <c r="F106" s="166" t="s">
        <v>730</v>
      </c>
      <c r="G106" s="166" t="s">
        <v>12764</v>
      </c>
      <c r="H106" s="167">
        <v>0</v>
      </c>
      <c r="I106" s="168" t="s">
        <v>1655</v>
      </c>
      <c r="J106" s="168" t="s">
        <v>13121</v>
      </c>
      <c r="K106" s="207"/>
      <c r="L106" s="207"/>
      <c r="M106" s="207"/>
      <c r="N106" s="207"/>
      <c r="O106" s="207"/>
      <c r="P106" s="169"/>
      <c r="Q106" s="208"/>
      <c r="R106" s="166" t="str">
        <f ca="1">IF(ISERROR($V106),"",OFFSET('Smelter Look-up'!$C$4,$V106-4,0)&amp;"")</f>
        <v>Yanling Jincheng Tantalum &amp; Niobium Co., Ltd.</v>
      </c>
      <c r="S106" s="165" t="str">
        <f t="shared" ca="1" si="14"/>
        <v>CN</v>
      </c>
      <c r="T106" s="165" t="str">
        <f ca="1">IF(B106="","",IF(ISERROR(MATCH($J106,SorP!$B$1:$B$6261,0)),"",INDIRECT("'SorP'!$A$"&amp;MATCH($S106&amp;$J106,SorP!C:C,0))))</f>
        <v>CN-HN</v>
      </c>
      <c r="U106" s="185"/>
      <c r="V106" s="209">
        <f>IF(C106="",NA(),IF(OR(C106="Smelter not listed",C106="Smelter not yet identified"),MATCH($B106&amp;$D106,'Smelter Look-up'!$J:$J,0),MATCH($B106&amp;$C106,'Smelter Look-up'!$J:$J,0)))</f>
        <v>412</v>
      </c>
      <c r="X106" s="210">
        <f t="shared" si="15"/>
        <v>0</v>
      </c>
      <c r="AB106" s="211" t="str">
        <f t="shared" si="16"/>
        <v>TantalumYanling Jincheng Tantalum &amp; Niobium Co., Ltd.</v>
      </c>
    </row>
    <row r="107" spans="1:28" s="210" customFormat="1" ht="63.75">
      <c r="A107" s="165" t="s">
        <v>732</v>
      </c>
      <c r="B107" s="166" t="s">
        <v>1089</v>
      </c>
      <c r="C107" s="170" t="s">
        <v>2335</v>
      </c>
      <c r="D107" s="213"/>
      <c r="E107" s="166" t="s">
        <v>1066</v>
      </c>
      <c r="F107" s="166" t="s">
        <v>732</v>
      </c>
      <c r="G107" s="166" t="s">
        <v>12764</v>
      </c>
      <c r="H107" s="167">
        <v>0</v>
      </c>
      <c r="I107" s="168" t="s">
        <v>1657</v>
      </c>
      <c r="J107" s="168" t="s">
        <v>1506</v>
      </c>
      <c r="K107" s="207"/>
      <c r="L107" s="207"/>
      <c r="M107" s="207"/>
      <c r="N107" s="207"/>
      <c r="O107" s="207"/>
      <c r="P107" s="169"/>
      <c r="Q107" s="208"/>
      <c r="R107" s="166" t="str">
        <f ca="1">IF(ISERROR($V107),"",OFFSET('Smelter Look-up'!$C$4,$V107-4,0)&amp;"")</f>
        <v>Taki Chemical Co., Ltd.</v>
      </c>
      <c r="S107" s="165" t="str">
        <f t="shared" ca="1" si="14"/>
        <v>JP</v>
      </c>
      <c r="T107" s="165" t="str">
        <f ca="1">IF(B107="","",IF(ISERROR(MATCH($J107,SorP!$B$1:$B$6261,0)),"",INDIRECT("'SorP'!$A$"&amp;MATCH($S107&amp;$J107,SorP!C:C,0))))</f>
        <v>JP-28</v>
      </c>
      <c r="U107" s="185"/>
      <c r="V107" s="209">
        <f>IF(C107="",NA(),IF(OR(C107="Smelter not listed",C107="Smelter not yet identified"),MATCH($B107&amp;$D107,'Smelter Look-up'!$J:$J,0),MATCH($B107&amp;$C107,'Smelter Look-up'!$J:$J,0)))</f>
        <v>401</v>
      </c>
      <c r="X107" s="210">
        <f t="shared" si="15"/>
        <v>0</v>
      </c>
      <c r="AB107" s="211" t="str">
        <f t="shared" si="16"/>
        <v>TantalumTaki Chemical Co., Ltd.</v>
      </c>
    </row>
    <row r="108" spans="1:28" s="210" customFormat="1" ht="38.25">
      <c r="A108" s="165" t="s">
        <v>733</v>
      </c>
      <c r="B108" s="166" t="s">
        <v>1089</v>
      </c>
      <c r="C108" s="170" t="s">
        <v>1658</v>
      </c>
      <c r="D108" s="213"/>
      <c r="E108" s="166" t="s">
        <v>2323</v>
      </c>
      <c r="F108" s="166" t="s">
        <v>733</v>
      </c>
      <c r="G108" s="166" t="s">
        <v>12764</v>
      </c>
      <c r="H108" s="167">
        <v>0</v>
      </c>
      <c r="I108" s="168" t="s">
        <v>1659</v>
      </c>
      <c r="J108" s="168" t="s">
        <v>1660</v>
      </c>
      <c r="K108" s="207"/>
      <c r="L108" s="207"/>
      <c r="M108" s="207"/>
      <c r="N108" s="207"/>
      <c r="O108" s="207"/>
      <c r="P108" s="169"/>
      <c r="Q108" s="208"/>
      <c r="R108" s="166" t="str">
        <f ca="1">IF(ISERROR($V108),"",OFFSET('Smelter Look-up'!$C$4,$V108-4,0)&amp;"")</f>
        <v>Telex Metals</v>
      </c>
      <c r="S108" s="165" t="str">
        <f t="shared" ca="1" si="14"/>
        <v>US</v>
      </c>
      <c r="T108" s="165" t="str">
        <f ca="1">IF(B108="","",IF(ISERROR(MATCH($J108,SorP!$B$1:$B$6261,0)),"",INDIRECT("'SorP'!$A$"&amp;MATCH($S108&amp;$J108,SorP!C:C,0))))</f>
        <v>US-PA</v>
      </c>
      <c r="U108" s="185"/>
      <c r="V108" s="209">
        <f>IF(C108="",NA(),IF(OR(C108="Smelter not listed",C108="Smelter not yet identified"),MATCH($B108&amp;$D108,'Smelter Look-up'!$J:$J,0),MATCH($B108&amp;$C108,'Smelter Look-up'!$J:$J,0)))</f>
        <v>407</v>
      </c>
      <c r="X108" s="210">
        <f t="shared" si="15"/>
        <v>0</v>
      </c>
      <c r="AB108" s="211" t="str">
        <f t="shared" si="16"/>
        <v>TantalumTelex Metals</v>
      </c>
    </row>
    <row r="109" spans="1:28" s="210" customFormat="1" ht="76.5">
      <c r="A109" s="165" t="s">
        <v>734</v>
      </c>
      <c r="B109" s="166" t="s">
        <v>1089</v>
      </c>
      <c r="C109" s="170" t="s">
        <v>1661</v>
      </c>
      <c r="D109" s="213"/>
      <c r="E109" s="166" t="s">
        <v>1067</v>
      </c>
      <c r="F109" s="166" t="s">
        <v>734</v>
      </c>
      <c r="G109" s="166" t="s">
        <v>12764</v>
      </c>
      <c r="H109" s="167">
        <v>0</v>
      </c>
      <c r="I109" s="168" t="s">
        <v>1552</v>
      </c>
      <c r="J109" s="168" t="s">
        <v>6872</v>
      </c>
      <c r="K109" s="207"/>
      <c r="L109" s="207"/>
      <c r="M109" s="207"/>
      <c r="N109" s="207"/>
      <c r="O109" s="207"/>
      <c r="P109" s="169"/>
      <c r="Q109" s="208"/>
      <c r="R109" s="166" t="str">
        <f ca="1">IF(ISERROR($V109),"",OFFSET('Smelter Look-up'!$C$4,$V109-4,0)&amp;"")</f>
        <v>Ulba Metallurgical Plant JSC</v>
      </c>
      <c r="S109" s="165" t="str">
        <f t="shared" ca="1" si="14"/>
        <v>KZ</v>
      </c>
      <c r="T109" s="165" t="str">
        <f ca="1">IF(B109="","",IF(ISERROR(MATCH($J109,SorP!$B$1:$B$6261,0)),"",INDIRECT("'SorP'!$A$"&amp;MATCH($S109&amp;$J109,SorP!C:C,0))))</f>
        <v>KZ-35</v>
      </c>
      <c r="U109" s="185"/>
      <c r="V109" s="209">
        <f>IF(C109="",NA(),IF(OR(C109="Smelter not listed",C109="Smelter not yet identified"),MATCH($B109&amp;$D109,'Smelter Look-up'!$J:$J,0),MATCH($B109&amp;$C109,'Smelter Look-up'!$J:$J,0)))</f>
        <v>409</v>
      </c>
      <c r="X109" s="210">
        <f t="shared" si="15"/>
        <v>0</v>
      </c>
      <c r="AB109" s="211" t="str">
        <f t="shared" si="16"/>
        <v>TantalumUlba Metallurgical Plant JSC</v>
      </c>
    </row>
    <row r="110" spans="1:28" s="210" customFormat="1" ht="114.75">
      <c r="A110" s="165" t="s">
        <v>381</v>
      </c>
      <c r="B110" s="166" t="s">
        <v>1089</v>
      </c>
      <c r="C110" s="170" t="s">
        <v>1</v>
      </c>
      <c r="D110" s="213"/>
      <c r="E110" s="166" t="s">
        <v>1058</v>
      </c>
      <c r="F110" s="166" t="s">
        <v>381</v>
      </c>
      <c r="G110" s="166" t="s">
        <v>12764</v>
      </c>
      <c r="H110" s="167">
        <v>0</v>
      </c>
      <c r="I110" s="168" t="s">
        <v>1663</v>
      </c>
      <c r="J110" s="168" t="s">
        <v>13121</v>
      </c>
      <c r="K110" s="207"/>
      <c r="L110" s="207"/>
      <c r="M110" s="207"/>
      <c r="N110" s="207"/>
      <c r="O110" s="207"/>
      <c r="P110" s="169"/>
      <c r="Q110" s="208"/>
      <c r="R110" s="166" t="str">
        <f ca="1">IF(ISERROR($V110),"",OFFSET('Smelter Look-up'!$C$4,$V110-4,0)&amp;"")</f>
        <v>Hengyang King Xing Lifeng New Materials Co., Ltd.</v>
      </c>
      <c r="S110" s="165" t="str">
        <f t="shared" ca="1" si="14"/>
        <v>CN</v>
      </c>
      <c r="T110" s="165" t="str">
        <f ca="1">IF(B110="","",IF(ISERROR(MATCH($J110,SorP!$B$1:$B$6261,0)),"",INDIRECT("'SorP'!$A$"&amp;MATCH($S110&amp;$J110,SorP!C:C,0))))</f>
        <v>CN-HN</v>
      </c>
      <c r="U110" s="185"/>
      <c r="V110" s="209">
        <f>IF(C110="",NA(),IF(OR(C110="Smelter not listed",C110="Smelter not yet identified"),MATCH($B110&amp;$D110,'Smelter Look-up'!$J:$J,0),MATCH($B110&amp;$C110,'Smelter Look-up'!$J:$J,0)))</f>
        <v>367</v>
      </c>
      <c r="X110" s="210">
        <f t="shared" si="15"/>
        <v>0</v>
      </c>
      <c r="AB110" s="211" t="str">
        <f t="shared" si="16"/>
        <v>TantalumHengyang King Xing Lifeng New Materials Co., Ltd.</v>
      </c>
    </row>
    <row r="111" spans="1:28" s="210" customFormat="1" ht="63.75">
      <c r="A111" s="165" t="s">
        <v>1349</v>
      </c>
      <c r="B111" s="166" t="s">
        <v>1089</v>
      </c>
      <c r="C111" s="170" t="s">
        <v>1348</v>
      </c>
      <c r="D111" s="213"/>
      <c r="E111" s="166" t="s">
        <v>2323</v>
      </c>
      <c r="F111" s="166" t="s">
        <v>1349</v>
      </c>
      <c r="G111" s="166" t="s">
        <v>12764</v>
      </c>
      <c r="H111" s="167">
        <v>0</v>
      </c>
      <c r="I111" s="168" t="s">
        <v>15174</v>
      </c>
      <c r="J111" s="168" t="s">
        <v>1664</v>
      </c>
      <c r="K111" s="207"/>
      <c r="L111" s="207"/>
      <c r="M111" s="207"/>
      <c r="N111" s="207"/>
      <c r="O111" s="207"/>
      <c r="P111" s="169"/>
      <c r="Q111" s="208"/>
      <c r="R111" s="166" t="str">
        <f ca="1">IF(ISERROR($V111),"",OFFSET('Smelter Look-up'!$C$4,$V111-4,0)&amp;"")</f>
        <v>D Block Metals, LLC</v>
      </c>
      <c r="S111" s="165" t="str">
        <f t="shared" ca="1" si="14"/>
        <v>US</v>
      </c>
      <c r="T111" s="165" t="str">
        <f ca="1">IF(B111="","",IF(ISERROR(MATCH($J111,SorP!$B$1:$B$6261,0)),"",INDIRECT("'SorP'!$A$"&amp;MATCH($S111&amp;$J111,SorP!C:C,0))))</f>
        <v>US-NC</v>
      </c>
      <c r="U111" s="185"/>
      <c r="V111" s="209">
        <f>IF(C111="",NA(),IF(OR(C111="Smelter not listed",C111="Smelter not yet identified"),MATCH($B111&amp;$D111,'Smelter Look-up'!$J:$J,0),MATCH($B111&amp;$C111,'Smelter Look-up'!$J:$J,0)))</f>
        <v>354</v>
      </c>
      <c r="X111" s="210">
        <f t="shared" si="15"/>
        <v>0</v>
      </c>
      <c r="AB111" s="211" t="str">
        <f t="shared" si="16"/>
        <v>TantalumD Block Metals, LLC</v>
      </c>
    </row>
    <row r="112" spans="1:28" s="210" customFormat="1" ht="76.5">
      <c r="A112" s="165" t="s">
        <v>1350</v>
      </c>
      <c r="B112" s="166" t="s">
        <v>1089</v>
      </c>
      <c r="C112" s="170" t="s">
        <v>2075</v>
      </c>
      <c r="D112" s="213"/>
      <c r="E112" s="166" t="s">
        <v>1058</v>
      </c>
      <c r="F112" s="166" t="s">
        <v>1350</v>
      </c>
      <c r="G112" s="166" t="s">
        <v>12764</v>
      </c>
      <c r="H112" s="167">
        <v>0</v>
      </c>
      <c r="I112" s="168" t="s">
        <v>1655</v>
      </c>
      <c r="J112" s="168" t="s">
        <v>13121</v>
      </c>
      <c r="K112" s="207"/>
      <c r="L112" s="207"/>
      <c r="M112" s="207"/>
      <c r="N112" s="207"/>
      <c r="O112" s="207"/>
      <c r="P112" s="169"/>
      <c r="Q112" s="208"/>
      <c r="R112" s="166" t="str">
        <f ca="1">IF(ISERROR($V112),"",OFFSET('Smelter Look-up'!$C$4,$V112-4,0)&amp;"")</f>
        <v>FIR Metals &amp; Resource Ltd.</v>
      </c>
      <c r="S112" s="165" t="str">
        <f t="shared" ca="1" si="14"/>
        <v>CN</v>
      </c>
      <c r="T112" s="165" t="str">
        <f ca="1">IF(B112="","",IF(ISERROR(MATCH($J112,SorP!$B$1:$B$6261,0)),"",INDIRECT("'SorP'!$A$"&amp;MATCH($S112&amp;$J112,SorP!C:C,0))))</f>
        <v>CN-HN</v>
      </c>
      <c r="U112" s="185"/>
      <c r="V112" s="209">
        <f>IF(C112="",NA(),IF(OR(C112="Smelter not listed",C112="Smelter not yet identified"),MATCH($B112&amp;$D112,'Smelter Look-up'!$J:$J,0),MATCH($B112&amp;$C112,'Smelter Look-up'!$J:$J,0)))</f>
        <v>357</v>
      </c>
      <c r="X112" s="210">
        <f t="shared" si="15"/>
        <v>0</v>
      </c>
      <c r="AB112" s="211" t="str">
        <f t="shared" si="16"/>
        <v>TantalumFIR Metals &amp; Resource Ltd.</v>
      </c>
    </row>
    <row r="113" spans="1:28" s="210" customFormat="1" ht="127.5">
      <c r="A113" s="165" t="s">
        <v>1352</v>
      </c>
      <c r="B113" s="166" t="s">
        <v>1089</v>
      </c>
      <c r="C113" s="170" t="s">
        <v>2076</v>
      </c>
      <c r="D113" s="213"/>
      <c r="E113" s="166" t="s">
        <v>1058</v>
      </c>
      <c r="F113" s="166" t="s">
        <v>1352</v>
      </c>
      <c r="G113" s="166" t="s">
        <v>12764</v>
      </c>
      <c r="H113" s="167">
        <v>0</v>
      </c>
      <c r="I113" s="168" t="s">
        <v>1643</v>
      </c>
      <c r="J113" s="168" t="s">
        <v>13117</v>
      </c>
      <c r="K113" s="207"/>
      <c r="L113" s="207"/>
      <c r="M113" s="207"/>
      <c r="N113" s="207"/>
      <c r="O113" s="207"/>
      <c r="P113" s="169"/>
      <c r="Q113" s="208"/>
      <c r="R113" s="166" t="str">
        <f ca="1">IF(ISERROR($V113),"",OFFSET('Smelter Look-up'!$C$4,$V113-4,0)&amp;"")</f>
        <v>Jiujiang Zhongao Tantalum &amp; Niobium Co., Ltd.</v>
      </c>
      <c r="S113" s="165" t="str">
        <f t="shared" ca="1" si="14"/>
        <v>CN</v>
      </c>
      <c r="T113" s="165" t="str">
        <f ca="1">IF(B113="","",IF(ISERROR(MATCH($J113,SorP!$B$1:$B$6261,0)),"",INDIRECT("'SorP'!$A$"&amp;MATCH($S113&amp;$J113,SorP!C:C,0))))</f>
        <v>CN-JX</v>
      </c>
      <c r="U113" s="185"/>
      <c r="V113" s="209">
        <f>IF(C113="",NA(),IF(OR(C113="Smelter not listed",C113="Smelter not yet identified"),MATCH($B113&amp;$D113,'Smelter Look-up'!$J:$J,0),MATCH($B113&amp;$C113,'Smelter Look-up'!$J:$J,0)))</f>
        <v>375</v>
      </c>
      <c r="X113" s="210">
        <f t="shared" si="15"/>
        <v>0</v>
      </c>
      <c r="AB113" s="211" t="str">
        <f t="shared" si="16"/>
        <v>TantalumJiujiang Zhongao Tantalum &amp; Niobium Co., Ltd.</v>
      </c>
    </row>
    <row r="114" spans="1:28" s="210" customFormat="1" ht="127.5">
      <c r="A114" s="165" t="s">
        <v>15443</v>
      </c>
      <c r="B114" s="166" t="s">
        <v>1089</v>
      </c>
      <c r="C114" s="170" t="s">
        <v>15442</v>
      </c>
      <c r="D114" s="213"/>
      <c r="E114" s="166" t="s">
        <v>1058</v>
      </c>
      <c r="F114" s="166" t="s">
        <v>15443</v>
      </c>
      <c r="G114" s="166" t="s">
        <v>12764</v>
      </c>
      <c r="H114" s="167">
        <v>0</v>
      </c>
      <c r="I114" s="168" t="s">
        <v>15444</v>
      </c>
      <c r="J114" s="168" t="s">
        <v>13122</v>
      </c>
      <c r="K114" s="207"/>
      <c r="L114" s="207"/>
      <c r="M114" s="207"/>
      <c r="N114" s="207"/>
      <c r="O114" s="207"/>
      <c r="P114" s="169"/>
      <c r="Q114" s="208"/>
      <c r="R114" s="166" t="str">
        <f ca="1">IF(ISERROR($V114),"",OFFSET('Smelter Look-up'!$C$4,$V114-4,0)&amp;"")</f>
        <v>XinXing HaoRong Electronic Material Co., Ltd.</v>
      </c>
      <c r="S114" s="165" t="str">
        <f t="shared" ca="1" si="14"/>
        <v>CN</v>
      </c>
      <c r="T114" s="165" t="str">
        <f ca="1">IF(B114="","",IF(ISERROR(MATCH($J114,SorP!$B$1:$B$6261,0)),"",INDIRECT("'SorP'!$A$"&amp;MATCH($S114&amp;$J114,SorP!C:C,0))))</f>
        <v>CN-GD</v>
      </c>
      <c r="U114" s="185"/>
      <c r="V114" s="209">
        <f>IF(C114="",NA(),IF(OR(C114="Smelter not listed",C114="Smelter not yet identified"),MATCH($B114&amp;$D114,'Smelter Look-up'!$J:$J,0),MATCH($B114&amp;$C114,'Smelter Look-up'!$J:$J,0)))</f>
        <v>411</v>
      </c>
      <c r="X114" s="210">
        <f t="shared" si="15"/>
        <v>0</v>
      </c>
      <c r="AB114" s="211" t="str">
        <f t="shared" si="16"/>
        <v>TantalumXinXing HaoRong Electronic Material Co., Ltd.</v>
      </c>
    </row>
    <row r="115" spans="1:28" s="210" customFormat="1" ht="102">
      <c r="A115" s="165" t="s">
        <v>1351</v>
      </c>
      <c r="B115" s="166" t="s">
        <v>1089</v>
      </c>
      <c r="C115" s="170" t="s">
        <v>2078</v>
      </c>
      <c r="D115" s="213"/>
      <c r="E115" s="166" t="s">
        <v>1058</v>
      </c>
      <c r="F115" s="166" t="s">
        <v>1351</v>
      </c>
      <c r="G115" s="166" t="s">
        <v>12764</v>
      </c>
      <c r="H115" s="167">
        <v>0</v>
      </c>
      <c r="I115" s="168" t="s">
        <v>1665</v>
      </c>
      <c r="J115" s="168" t="s">
        <v>13117</v>
      </c>
      <c r="K115" s="207"/>
      <c r="L115" s="207"/>
      <c r="M115" s="207"/>
      <c r="N115" s="207"/>
      <c r="O115" s="207"/>
      <c r="P115" s="169"/>
      <c r="Q115" s="208"/>
      <c r="R115" s="166" t="str">
        <f ca="1">IF(ISERROR($V115),"",OFFSET('Smelter Look-up'!$C$4,$V115-4,0)&amp;"")</f>
        <v>Jiangxi Dinghai Tantalum &amp; Niobium Co., Ltd.</v>
      </c>
      <c r="S115" s="165" t="str">
        <f t="shared" ca="1" si="14"/>
        <v>CN</v>
      </c>
      <c r="T115" s="165" t="str">
        <f ca="1">IF(B115="","",IF(ISERROR(MATCH($J115,SorP!$B$1:$B$6261,0)),"",INDIRECT("'SorP'!$A$"&amp;MATCH($S115&amp;$J115,SorP!C:C,0))))</f>
        <v>CN-JX</v>
      </c>
      <c r="U115" s="185"/>
      <c r="V115" s="209">
        <f>IF(C115="",NA(),IF(OR(C115="Smelter not listed",C115="Smelter not yet identified"),MATCH($B115&amp;$D115,'Smelter Look-up'!$J:$J,0),MATCH($B115&amp;$C115,'Smelter Look-up'!$J:$J,0)))</f>
        <v>368</v>
      </c>
      <c r="X115" s="210">
        <f t="shared" si="15"/>
        <v>0</v>
      </c>
      <c r="AB115" s="211" t="str">
        <f t="shared" si="16"/>
        <v>TantalumJiangxi Dinghai Tantalum &amp; Niobium Co., Ltd.</v>
      </c>
    </row>
    <row r="116" spans="1:28" s="210" customFormat="1" ht="51">
      <c r="A116" s="165" t="s">
        <v>1376</v>
      </c>
      <c r="B116" s="166" t="s">
        <v>1089</v>
      </c>
      <c r="C116" s="170" t="s">
        <v>14523</v>
      </c>
      <c r="D116" s="213"/>
      <c r="E116" s="166" t="s">
        <v>1071</v>
      </c>
      <c r="F116" s="166" t="s">
        <v>1376</v>
      </c>
      <c r="G116" s="166" t="s">
        <v>12764</v>
      </c>
      <c r="H116" s="167">
        <v>0</v>
      </c>
      <c r="I116" s="168" t="s">
        <v>1666</v>
      </c>
      <c r="J116" s="168" t="s">
        <v>1667</v>
      </c>
      <c r="K116" s="207"/>
      <c r="L116" s="207"/>
      <c r="M116" s="207"/>
      <c r="N116" s="207"/>
      <c r="O116" s="207"/>
      <c r="P116" s="169"/>
      <c r="Q116" s="208"/>
      <c r="R116" s="166" t="str">
        <f ca="1">IF(ISERROR($V116),"",OFFSET('Smelter Look-up'!$C$4,$V116-4,0)&amp;"")</f>
        <v>KEMET de Mexico</v>
      </c>
      <c r="S116" s="165" t="str">
        <f t="shared" ca="1" si="14"/>
        <v>MX</v>
      </c>
      <c r="T116" s="165" t="str">
        <f ca="1">IF(B116="","",IF(ISERROR(MATCH($J116,SorP!$B$1:$B$6261,0)),"",INDIRECT("'SorP'!$A$"&amp;MATCH($S116&amp;$J116,SorP!C:C,0))))</f>
        <v>MX-TAM</v>
      </c>
      <c r="U116" s="185"/>
      <c r="V116" s="209">
        <f>IF(C116="",NA(),IF(OR(C116="Smelter not listed",C116="Smelter not yet identified"),MATCH($B116&amp;$D116,'Smelter Look-up'!$J:$J,0),MATCH($B116&amp;$C116,'Smelter Look-up'!$J:$J,0)))</f>
        <v>377</v>
      </c>
      <c r="X116" s="210">
        <f t="shared" si="15"/>
        <v>0</v>
      </c>
      <c r="AB116" s="211" t="str">
        <f t="shared" si="16"/>
        <v>TantalumKEMET de Mexico</v>
      </c>
    </row>
    <row r="117" spans="1:28" s="210" customFormat="1" ht="51">
      <c r="A117" s="165" t="s">
        <v>1368</v>
      </c>
      <c r="B117" s="166" t="s">
        <v>1089</v>
      </c>
      <c r="C117" s="170" t="s">
        <v>14519</v>
      </c>
      <c r="D117" s="213"/>
      <c r="E117" s="166" t="s">
        <v>848</v>
      </c>
      <c r="F117" s="166" t="s">
        <v>1368</v>
      </c>
      <c r="G117" s="166" t="s">
        <v>12764</v>
      </c>
      <c r="H117" s="167">
        <v>0</v>
      </c>
      <c r="I117" s="168" t="s">
        <v>1668</v>
      </c>
      <c r="J117" s="168" t="s">
        <v>1669</v>
      </c>
      <c r="K117" s="207"/>
      <c r="L117" s="207"/>
      <c r="M117" s="207"/>
      <c r="N117" s="207"/>
      <c r="O117" s="207"/>
      <c r="P117" s="169"/>
      <c r="Q117" s="208"/>
      <c r="R117" s="166" t="str">
        <f ca="1">IF(ISERROR($V117),"",OFFSET('Smelter Look-up'!$C$4,$V117-4,0)&amp;"")</f>
        <v>TANIOBIS Co., Ltd.</v>
      </c>
      <c r="S117" s="165" t="str">
        <f t="shared" ca="1" si="14"/>
        <v>TH</v>
      </c>
      <c r="T117" s="165" t="str">
        <f ca="1">IF(B117="","",IF(ISERROR(MATCH($J117,SorP!$B$1:$B$6261,0)),"",INDIRECT("'SorP'!$A$"&amp;MATCH($S117&amp;$J117,SorP!C:C,0))))</f>
        <v>TH-21</v>
      </c>
      <c r="U117" s="185"/>
      <c r="V117" s="209">
        <f>IF(C117="",NA(),IF(OR(C117="Smelter not listed",C117="Smelter not yet identified"),MATCH($B117&amp;$D117,'Smelter Look-up'!$J:$J,0),MATCH($B117&amp;$C117,'Smelter Look-up'!$J:$J,0)))</f>
        <v>403</v>
      </c>
      <c r="X117" s="210">
        <f t="shared" si="15"/>
        <v>0</v>
      </c>
      <c r="AB117" s="211" t="str">
        <f t="shared" si="16"/>
        <v>TantalumTANIOBIS Co., Ltd.</v>
      </c>
    </row>
    <row r="118" spans="1:28" s="210" customFormat="1" ht="51">
      <c r="A118" s="165" t="s">
        <v>1369</v>
      </c>
      <c r="B118" s="166" t="s">
        <v>1089</v>
      </c>
      <c r="C118" s="170" t="s">
        <v>14522</v>
      </c>
      <c r="D118" s="213"/>
      <c r="E118" s="166" t="s">
        <v>1059</v>
      </c>
      <c r="F118" s="166" t="s">
        <v>1369</v>
      </c>
      <c r="G118" s="166" t="s">
        <v>12764</v>
      </c>
      <c r="H118" s="167">
        <v>0</v>
      </c>
      <c r="I118" s="168" t="s">
        <v>1670</v>
      </c>
      <c r="J118" s="168" t="s">
        <v>4121</v>
      </c>
      <c r="K118" s="207"/>
      <c r="L118" s="207"/>
      <c r="M118" s="207"/>
      <c r="N118" s="207"/>
      <c r="O118" s="207"/>
      <c r="P118" s="169"/>
      <c r="Q118" s="208"/>
      <c r="R118" s="166" t="str">
        <f ca="1">IF(ISERROR($V118),"",OFFSET('Smelter Look-up'!$C$4,$V118-4,0)&amp;"")</f>
        <v>TANIOBIS GmbH</v>
      </c>
      <c r="S118" s="165" t="str">
        <f t="shared" ca="1" si="14"/>
        <v>DE</v>
      </c>
      <c r="T118" s="165" t="str">
        <f ca="1">IF(B118="","",IF(ISERROR(MATCH($J118,SorP!$B$1:$B$6261,0)),"",INDIRECT("'SorP'!$A$"&amp;MATCH($S118&amp;$J118,SorP!C:C,0))))</f>
        <v>DE-NI</v>
      </c>
      <c r="U118" s="185"/>
      <c r="V118" s="209">
        <f>IF(C118="",NA(),IF(OR(C118="Smelter not listed",C118="Smelter not yet identified"),MATCH($B118&amp;$D118,'Smelter Look-up'!$J:$J,0),MATCH($B118&amp;$C118,'Smelter Look-up'!$J:$J,0)))</f>
        <v>404</v>
      </c>
      <c r="X118" s="210">
        <f t="shared" si="15"/>
        <v>0</v>
      </c>
      <c r="AB118" s="211" t="str">
        <f t="shared" si="16"/>
        <v>TantalumTANIOBIS GmbH</v>
      </c>
    </row>
    <row r="119" spans="1:28" s="210" customFormat="1" ht="63.75">
      <c r="A119" s="165" t="s">
        <v>1371</v>
      </c>
      <c r="B119" s="166" t="s">
        <v>1089</v>
      </c>
      <c r="C119" s="170" t="s">
        <v>14895</v>
      </c>
      <c r="D119" s="213"/>
      <c r="E119" s="166" t="s">
        <v>2323</v>
      </c>
      <c r="F119" s="166" t="s">
        <v>1371</v>
      </c>
      <c r="G119" s="166" t="s">
        <v>12764</v>
      </c>
      <c r="H119" s="167">
        <v>0</v>
      </c>
      <c r="I119" s="168" t="s">
        <v>1672</v>
      </c>
      <c r="J119" s="168" t="s">
        <v>1566</v>
      </c>
      <c r="K119" s="207"/>
      <c r="L119" s="207"/>
      <c r="M119" s="207"/>
      <c r="N119" s="207"/>
      <c r="O119" s="207"/>
      <c r="P119" s="169"/>
      <c r="Q119" s="208"/>
      <c r="R119" s="166" t="str">
        <f ca="1">IF(ISERROR($V119),"",OFFSET('Smelter Look-up'!$C$4,$V119-4,0)&amp;"")</f>
        <v>Materion Newton Inc.</v>
      </c>
      <c r="S119" s="165" t="str">
        <f t="shared" ca="1" si="14"/>
        <v>US</v>
      </c>
      <c r="T119" s="165" t="str">
        <f ca="1">IF(B119="","",IF(ISERROR(MATCH($J119,SorP!$B$1:$B$6261,0)),"",INDIRECT("'SorP'!$A$"&amp;MATCH($S119&amp;$J119,SorP!C:C,0))))</f>
        <v>US-MA</v>
      </c>
      <c r="U119" s="185"/>
      <c r="V119" s="209">
        <f>IF(C119="",NA(),IF(OR(C119="Smelter not listed",C119="Smelter not yet identified"),MATCH($B119&amp;$D119,'Smelter Look-up'!$J:$J,0),MATCH($B119&amp;$C119,'Smelter Look-up'!$J:$J,0)))</f>
        <v>379</v>
      </c>
      <c r="X119" s="210">
        <f t="shared" si="15"/>
        <v>0</v>
      </c>
      <c r="AB119" s="211" t="str">
        <f t="shared" si="16"/>
        <v>TantalumMaterion Newton Inc.</v>
      </c>
    </row>
    <row r="120" spans="1:28" s="210" customFormat="1" ht="76.5">
      <c r="A120" s="165" t="s">
        <v>1373</v>
      </c>
      <c r="B120" s="166" t="s">
        <v>1089</v>
      </c>
      <c r="C120" s="170" t="s">
        <v>14520</v>
      </c>
      <c r="D120" s="213"/>
      <c r="E120" s="166" t="s">
        <v>1066</v>
      </c>
      <c r="F120" s="166" t="s">
        <v>1373</v>
      </c>
      <c r="G120" s="166" t="s">
        <v>12764</v>
      </c>
      <c r="H120" s="167">
        <v>0</v>
      </c>
      <c r="I120" s="168" t="s">
        <v>15175</v>
      </c>
      <c r="J120" s="168" t="s">
        <v>1673</v>
      </c>
      <c r="K120" s="207"/>
      <c r="L120" s="207"/>
      <c r="M120" s="207"/>
      <c r="N120" s="207"/>
      <c r="O120" s="207"/>
      <c r="P120" s="169"/>
      <c r="Q120" s="208"/>
      <c r="R120" s="166" t="str">
        <f ca="1">IF(ISERROR($V120),"",OFFSET('Smelter Look-up'!$C$4,$V120-4,0)&amp;"")</f>
        <v>TANIOBIS Japan Co., Ltd.</v>
      </c>
      <c r="S120" s="165" t="str">
        <f t="shared" ca="1" si="14"/>
        <v>JP</v>
      </c>
      <c r="T120" s="165" t="str">
        <f ca="1">IF(B120="","",IF(ISERROR(MATCH($J120,SorP!$B$1:$B$6261,0)),"",INDIRECT("'SorP'!$A$"&amp;MATCH($S120&amp;$J120,SorP!C:C,0))))</f>
        <v>JP-08</v>
      </c>
      <c r="U120" s="185"/>
      <c r="V120" s="209">
        <f>IF(C120="",NA(),IF(OR(C120="Smelter not listed",C120="Smelter not yet identified"),MATCH($B120&amp;$D120,'Smelter Look-up'!$J:$J,0),MATCH($B120&amp;$C120,'Smelter Look-up'!$J:$J,0)))</f>
        <v>405</v>
      </c>
      <c r="X120" s="210">
        <f t="shared" si="15"/>
        <v>0</v>
      </c>
      <c r="AB120" s="211" t="str">
        <f t="shared" si="16"/>
        <v>TantalumTANIOBIS Japan Co., Ltd.</v>
      </c>
    </row>
    <row r="121" spans="1:28" s="210" customFormat="1" ht="76.5">
      <c r="A121" s="165" t="s">
        <v>1374</v>
      </c>
      <c r="B121" s="166" t="s">
        <v>1089</v>
      </c>
      <c r="C121" s="170" t="s">
        <v>14521</v>
      </c>
      <c r="D121" s="213"/>
      <c r="E121" s="166" t="s">
        <v>1059</v>
      </c>
      <c r="F121" s="166" t="s">
        <v>1374</v>
      </c>
      <c r="G121" s="166" t="s">
        <v>12764</v>
      </c>
      <c r="H121" s="167">
        <v>0</v>
      </c>
      <c r="I121" s="168" t="s">
        <v>1671</v>
      </c>
      <c r="J121" s="168" t="s">
        <v>1499</v>
      </c>
      <c r="K121" s="207"/>
      <c r="L121" s="207"/>
      <c r="M121" s="207"/>
      <c r="N121" s="207"/>
      <c r="O121" s="207"/>
      <c r="P121" s="169"/>
      <c r="Q121" s="208"/>
      <c r="R121" s="166" t="str">
        <f ca="1">IF(ISERROR($V121),"",OFFSET('Smelter Look-up'!$C$4,$V121-4,0)&amp;"")</f>
        <v>TANIOBIS Smelting GmbH &amp; Co. KG</v>
      </c>
      <c r="S121" s="165" t="str">
        <f t="shared" ca="1" si="14"/>
        <v>DE</v>
      </c>
      <c r="T121" s="165" t="str">
        <f ca="1">IF(B121="","",IF(ISERROR(MATCH($J121,SorP!$B$1:$B$6261,0)),"",INDIRECT("'SorP'!$A$"&amp;MATCH($S121&amp;$J121,SorP!C:C,0))))</f>
        <v>DE-BW</v>
      </c>
      <c r="U121" s="185"/>
      <c r="V121" s="209">
        <f>IF(C121="",NA(),IF(OR(C121="Smelter not listed",C121="Smelter not yet identified"),MATCH($B121&amp;$D121,'Smelter Look-up'!$J:$J,0),MATCH($B121&amp;$C121,'Smelter Look-up'!$J:$J,0)))</f>
        <v>406</v>
      </c>
      <c r="X121" s="210">
        <f t="shared" si="15"/>
        <v>0</v>
      </c>
      <c r="AB121" s="211" t="str">
        <f t="shared" si="16"/>
        <v>TantalumTANIOBIS Smelting GmbH &amp; Co. KG</v>
      </c>
    </row>
    <row r="122" spans="1:28" s="210" customFormat="1" ht="89.25">
      <c r="A122" s="165" t="s">
        <v>1366</v>
      </c>
      <c r="B122" s="166" t="s">
        <v>1089</v>
      </c>
      <c r="C122" s="170" t="s">
        <v>1365</v>
      </c>
      <c r="D122" s="213"/>
      <c r="E122" s="166" t="s">
        <v>2323</v>
      </c>
      <c r="F122" s="166" t="s">
        <v>1366</v>
      </c>
      <c r="G122" s="166" t="s">
        <v>12764</v>
      </c>
      <c r="H122" s="167">
        <v>0</v>
      </c>
      <c r="I122" s="168" t="s">
        <v>1674</v>
      </c>
      <c r="J122" s="168" t="s">
        <v>1660</v>
      </c>
      <c r="K122" s="207"/>
      <c r="L122" s="207"/>
      <c r="M122" s="207"/>
      <c r="N122" s="207"/>
      <c r="O122" s="207"/>
      <c r="P122" s="169"/>
      <c r="Q122" s="208"/>
      <c r="R122" s="166" t="str">
        <f ca="1">IF(ISERROR($V122),"",OFFSET('Smelter Look-up'!$C$4,$V122-4,0)&amp;"")</f>
        <v>Global Advanced Metals Boyertown</v>
      </c>
      <c r="S122" s="165" t="str">
        <f t="shared" ca="1" si="14"/>
        <v>US</v>
      </c>
      <c r="T122" s="165" t="str">
        <f ca="1">IF(B122="","",IF(ISERROR(MATCH($J122,SorP!$B$1:$B$6261,0)),"",INDIRECT("'SorP'!$A$"&amp;MATCH($S122&amp;$J122,SorP!C:C,0))))</f>
        <v>US-PA</v>
      </c>
      <c r="U122" s="185"/>
      <c r="V122" s="209">
        <f>IF(C122="",NA(),IF(OR(C122="Smelter not listed",C122="Smelter not yet identified"),MATCH($B122&amp;$D122,'Smelter Look-up'!$J:$J,0),MATCH($B122&amp;$C122,'Smelter Look-up'!$J:$J,0)))</f>
        <v>359</v>
      </c>
      <c r="X122" s="210">
        <f t="shared" si="15"/>
        <v>0</v>
      </c>
      <c r="AB122" s="211" t="str">
        <f t="shared" si="16"/>
        <v>TantalumGlobal Advanced Metals Boyertown</v>
      </c>
    </row>
    <row r="123" spans="1:28" s="210" customFormat="1" ht="76.5">
      <c r="A123" s="165" t="s">
        <v>1364</v>
      </c>
      <c r="B123" s="166" t="s">
        <v>1089</v>
      </c>
      <c r="C123" s="170" t="s">
        <v>1363</v>
      </c>
      <c r="D123" s="213"/>
      <c r="E123" s="166" t="s">
        <v>1066</v>
      </c>
      <c r="F123" s="166" t="s">
        <v>1364</v>
      </c>
      <c r="G123" s="166" t="s">
        <v>12764</v>
      </c>
      <c r="H123" s="167">
        <v>0</v>
      </c>
      <c r="I123" s="168" t="s">
        <v>1675</v>
      </c>
      <c r="J123" s="168" t="s">
        <v>1509</v>
      </c>
      <c r="K123" s="207"/>
      <c r="L123" s="207"/>
      <c r="M123" s="207"/>
      <c r="N123" s="207"/>
      <c r="O123" s="207"/>
      <c r="P123" s="169"/>
      <c r="Q123" s="208"/>
      <c r="R123" s="166" t="str">
        <f ca="1">IF(ISERROR($V123),"",OFFSET('Smelter Look-up'!$C$4,$V123-4,0)&amp;"")</f>
        <v>Global Advanced Metals Aizu</v>
      </c>
      <c r="S123" s="165" t="str">
        <f t="shared" ca="1" si="14"/>
        <v>JP</v>
      </c>
      <c r="T123" s="165" t="str">
        <f ca="1">IF(B123="","",IF(ISERROR(MATCH($J123,SorP!$B$1:$B$6261,0)),"",INDIRECT("'SorP'!$A$"&amp;MATCH($S123&amp;$J123,SorP!C:C,0))))</f>
        <v>JP-07</v>
      </c>
      <c r="U123" s="185"/>
      <c r="V123" s="209">
        <f>IF(C123="",NA(),IF(OR(C123="Smelter not listed",C123="Smelter not yet identified"),MATCH($B123&amp;$D123,'Smelter Look-up'!$J:$J,0),MATCH($B123&amp;$C123,'Smelter Look-up'!$J:$J,0)))</f>
        <v>358</v>
      </c>
      <c r="X123" s="210">
        <f t="shared" si="15"/>
        <v>0</v>
      </c>
      <c r="AB123" s="211" t="str">
        <f t="shared" si="16"/>
        <v>TantalumGlobal Advanced Metals Aizu</v>
      </c>
    </row>
    <row r="124" spans="1:28" s="210" customFormat="1" ht="76.5">
      <c r="A124" s="165" t="s">
        <v>1677</v>
      </c>
      <c r="B124" s="166" t="s">
        <v>1089</v>
      </c>
      <c r="C124" s="170" t="s">
        <v>11985</v>
      </c>
      <c r="D124" s="213"/>
      <c r="E124" s="166" t="s">
        <v>1054</v>
      </c>
      <c r="F124" s="166" t="s">
        <v>1677</v>
      </c>
      <c r="G124" s="166" t="s">
        <v>12764</v>
      </c>
      <c r="H124" s="167">
        <v>0</v>
      </c>
      <c r="I124" s="168" t="s">
        <v>1644</v>
      </c>
      <c r="J124" s="168" t="s">
        <v>1678</v>
      </c>
      <c r="K124" s="207"/>
      <c r="L124" s="207"/>
      <c r="M124" s="207"/>
      <c r="N124" s="207"/>
      <c r="O124" s="207"/>
      <c r="P124" s="169"/>
      <c r="Q124" s="208"/>
      <c r="R124" s="166" t="str">
        <f ca="1">IF(ISERROR($V124),"",OFFSET('Smelter Look-up'!$C$4,$V124-4,0)&amp;"")</f>
        <v>Resind Industria e Comercio Ltda.</v>
      </c>
      <c r="S124" s="165" t="str">
        <f t="shared" ca="1" si="14"/>
        <v>BR</v>
      </c>
      <c r="T124" s="165" t="str">
        <f ca="1">IF(B124="","",IF(ISERROR(MATCH($J124,SorP!$B$1:$B$6261,0)),"",INDIRECT("'SorP'!$A$"&amp;MATCH($S124&amp;$J124,SorP!C:C,0))))</f>
        <v>BR-MG</v>
      </c>
      <c r="U124" s="185"/>
      <c r="V124" s="209">
        <f>IF(C124="",NA(),IF(OR(C124="Smelter not listed",C124="Smelter not yet identified"),MATCH($B124&amp;$D124,'Smelter Look-up'!$J:$J,0),MATCH($B124&amp;$C124,'Smelter Look-up'!$J:$J,0)))</f>
        <v>394</v>
      </c>
      <c r="X124" s="210">
        <f t="shared" si="15"/>
        <v>0</v>
      </c>
      <c r="AB124" s="211" t="str">
        <f t="shared" si="16"/>
        <v>TantalumResind Industria e Comercio Ltda.</v>
      </c>
    </row>
    <row r="125" spans="1:28" s="210" customFormat="1" ht="76.5">
      <c r="A125" s="165" t="s">
        <v>2169</v>
      </c>
      <c r="B125" s="166" t="s">
        <v>1089</v>
      </c>
      <c r="C125" s="170" t="s">
        <v>2168</v>
      </c>
      <c r="D125" s="213"/>
      <c r="E125" s="166" t="s">
        <v>1058</v>
      </c>
      <c r="F125" s="166" t="s">
        <v>2169</v>
      </c>
      <c r="G125" s="166" t="s">
        <v>12764</v>
      </c>
      <c r="H125" s="167">
        <v>0</v>
      </c>
      <c r="I125" s="168" t="s">
        <v>1662</v>
      </c>
      <c r="J125" s="168" t="s">
        <v>13117</v>
      </c>
      <c r="K125" s="207"/>
      <c r="L125" s="207"/>
      <c r="M125" s="207"/>
      <c r="N125" s="207"/>
      <c r="O125" s="207"/>
      <c r="P125" s="169"/>
      <c r="Q125" s="208"/>
      <c r="R125" s="166" t="str">
        <f ca="1">IF(ISERROR($V125),"",OFFSET('Smelter Look-up'!$C$4,$V125-4,0)&amp;"")</f>
        <v>Jiangxi Tuohong New Raw Material</v>
      </c>
      <c r="S125" s="165" t="str">
        <f t="shared" ca="1" si="14"/>
        <v>CN</v>
      </c>
      <c r="T125" s="165" t="str">
        <f ca="1">IF(B125="","",IF(ISERROR(MATCH($J125,SorP!$B$1:$B$6261,0)),"",INDIRECT("'SorP'!$A$"&amp;MATCH($S125&amp;$J125,SorP!C:C,0))))</f>
        <v>CN-JX</v>
      </c>
      <c r="U125" s="185"/>
      <c r="V125" s="209">
        <f>IF(C125="",NA(),IF(OR(C125="Smelter not listed",C125="Smelter not yet identified"),MATCH($B125&amp;$D125,'Smelter Look-up'!$J:$J,0),MATCH($B125&amp;$C125,'Smelter Look-up'!$J:$J,0)))</f>
        <v>371</v>
      </c>
      <c r="X125" s="210">
        <f t="shared" si="15"/>
        <v>0</v>
      </c>
      <c r="AB125" s="211" t="str">
        <f t="shared" si="16"/>
        <v>TantalumJiangxi Tuohong New Raw Material</v>
      </c>
    </row>
    <row r="126" spans="1:28" s="210" customFormat="1" ht="114.75">
      <c r="A126" s="165" t="s">
        <v>15944</v>
      </c>
      <c r="B126" s="166" t="s">
        <v>1089</v>
      </c>
      <c r="C126" s="170" t="s">
        <v>15945</v>
      </c>
      <c r="D126" s="213"/>
      <c r="E126" s="166" t="s">
        <v>1058</v>
      </c>
      <c r="F126" s="166" t="s">
        <v>15944</v>
      </c>
      <c r="G126" s="166" t="s">
        <v>12764</v>
      </c>
      <c r="H126" s="167">
        <v>0</v>
      </c>
      <c r="I126" s="168" t="s">
        <v>15946</v>
      </c>
      <c r="J126" s="168" t="s">
        <v>13130</v>
      </c>
      <c r="K126" s="207"/>
      <c r="L126" s="207"/>
      <c r="M126" s="207"/>
      <c r="N126" s="207"/>
      <c r="O126" s="207"/>
      <c r="P126" s="169"/>
      <c r="Q126" s="208"/>
      <c r="R126" s="166" t="str">
        <f ca="1">IF(ISERROR($V126),"",OFFSET('Smelter Look-up'!$C$4,$V126-4,0)&amp;"")</f>
        <v/>
      </c>
      <c r="S126" s="165" t="str">
        <f t="shared" ca="1" si="14"/>
        <v>CN</v>
      </c>
      <c r="T126" s="165" t="str">
        <f ca="1">IF(B126="","",IF(ISERROR(MATCH($J126,SorP!$B$1:$B$6261,0)),"",INDIRECT("'SorP'!$A$"&amp;MATCH($S126&amp;$J126,SorP!C:C,0))))</f>
        <v>CN-JS</v>
      </c>
      <c r="U126" s="185"/>
      <c r="V126" s="209" t="e">
        <f>IF(C126="",NA(),IF(OR(C126="Smelter not listed",C126="Smelter not yet identified"),MATCH($B126&amp;$D126,'Smelter Look-up'!$J:$J,0),MATCH($B126&amp;$C126,'Smelter Look-up'!$J:$J,0)))</f>
        <v>#N/A</v>
      </c>
      <c r="X126" s="210">
        <f t="shared" si="15"/>
        <v>0</v>
      </c>
      <c r="AB126" s="211" t="str">
        <f t="shared" si="16"/>
        <v>TantalumRFH Yancheng Jinye New Material Technology Co., Ltd.</v>
      </c>
    </row>
    <row r="127" spans="1:28" s="210" customFormat="1" ht="38.25">
      <c r="A127" s="165" t="s">
        <v>757</v>
      </c>
      <c r="B127" s="166" t="s">
        <v>1090</v>
      </c>
      <c r="C127" s="170" t="s">
        <v>13296</v>
      </c>
      <c r="D127" s="213"/>
      <c r="E127" s="166" t="s">
        <v>1066</v>
      </c>
      <c r="F127" s="166" t="s">
        <v>757</v>
      </c>
      <c r="G127" s="166" t="s">
        <v>12764</v>
      </c>
      <c r="H127" s="167">
        <v>0</v>
      </c>
      <c r="I127" s="168" t="s">
        <v>2042</v>
      </c>
      <c r="J127" s="168" t="s">
        <v>2043</v>
      </c>
      <c r="K127" s="207"/>
      <c r="L127" s="207"/>
      <c r="M127" s="207"/>
      <c r="N127" s="207"/>
      <c r="O127" s="207"/>
      <c r="P127" s="169"/>
      <c r="Q127" s="208"/>
      <c r="R127" s="166" t="str">
        <f ca="1">IF(ISERROR($V127),"",OFFSET('Smelter Look-up'!$C$4,$V127-4,0)&amp;"")</f>
        <v>A.L.M.T. Corp.</v>
      </c>
      <c r="S127" s="165" t="str">
        <f t="shared" ca="1" si="14"/>
        <v>JP</v>
      </c>
      <c r="T127" s="165" t="str">
        <f ca="1">IF(B127="","",IF(ISERROR(MATCH($J127,SorP!$B$1:$B$6261,0)),"",INDIRECT("'SorP'!$A$"&amp;MATCH($S127&amp;$J127,SorP!C:C,0))))</f>
        <v>JP-16</v>
      </c>
      <c r="U127" s="185"/>
      <c r="V127" s="209">
        <f>IF(C127="",NA(),IF(OR(C127="Smelter not listed",C127="Smelter not yet identified"),MATCH($B127&amp;$D127,'Smelter Look-up'!$J:$J,0),MATCH($B127&amp;$C127,'Smelter Look-up'!$J:$J,0)))</f>
        <v>574</v>
      </c>
      <c r="X127" s="210">
        <f t="shared" si="15"/>
        <v>0</v>
      </c>
      <c r="AB127" s="211" t="str">
        <f t="shared" si="16"/>
        <v>TungstenA.L.M.T. Corp.</v>
      </c>
    </row>
    <row r="128" spans="1:28" s="210" customFormat="1" ht="63.75">
      <c r="A128" s="165" t="s">
        <v>758</v>
      </c>
      <c r="B128" s="166" t="s">
        <v>1090</v>
      </c>
      <c r="C128" s="170" t="s">
        <v>139</v>
      </c>
      <c r="D128" s="213"/>
      <c r="E128" s="166" t="s">
        <v>2323</v>
      </c>
      <c r="F128" s="166" t="s">
        <v>758</v>
      </c>
      <c r="G128" s="166" t="s">
        <v>12764</v>
      </c>
      <c r="H128" s="167">
        <v>0</v>
      </c>
      <c r="I128" s="168" t="s">
        <v>1735</v>
      </c>
      <c r="J128" s="168" t="s">
        <v>1736</v>
      </c>
      <c r="K128" s="207"/>
      <c r="L128" s="207"/>
      <c r="M128" s="207"/>
      <c r="N128" s="207"/>
      <c r="O128" s="207"/>
      <c r="P128" s="169"/>
      <c r="Q128" s="208"/>
      <c r="R128" s="166" t="str">
        <f ca="1">IF(ISERROR($V128),"",OFFSET('Smelter Look-up'!$C$4,$V128-4,0)&amp;"")</f>
        <v>Kennametal Huntsville</v>
      </c>
      <c r="S128" s="165" t="str">
        <f t="shared" ca="1" si="14"/>
        <v>US</v>
      </c>
      <c r="T128" s="165" t="str">
        <f ca="1">IF(B128="","",IF(ISERROR(MATCH($J128,SorP!$B$1:$B$6261,0)),"",INDIRECT("'SorP'!$A$"&amp;MATCH($S128&amp;$J128,SorP!C:C,0))))</f>
        <v>US-AL</v>
      </c>
      <c r="U128" s="185"/>
      <c r="V128" s="209">
        <f>IF(C128="",NA(),IF(OR(C128="Smelter not listed",C128="Smelter not yet identified"),MATCH($B128&amp;$D128,'Smelter Look-up'!$J:$J,0),MATCH($B128&amp;$C128,'Smelter Look-up'!$J:$J,0)))</f>
        <v>620</v>
      </c>
      <c r="X128" s="210">
        <f t="shared" si="15"/>
        <v>0</v>
      </c>
      <c r="AB128" s="211" t="str">
        <f t="shared" si="16"/>
        <v>TungstenKennametal Huntsville</v>
      </c>
    </row>
    <row r="129" spans="1:28" s="210" customFormat="1" ht="89.25">
      <c r="A129" s="165" t="s">
        <v>759</v>
      </c>
      <c r="B129" s="166" t="s">
        <v>1090</v>
      </c>
      <c r="C129" s="170" t="s">
        <v>1333</v>
      </c>
      <c r="D129" s="213"/>
      <c r="E129" s="166" t="s">
        <v>1058</v>
      </c>
      <c r="F129" s="166" t="s">
        <v>759</v>
      </c>
      <c r="G129" s="166" t="s">
        <v>12764</v>
      </c>
      <c r="H129" s="167">
        <v>0</v>
      </c>
      <c r="I129" s="168" t="s">
        <v>1737</v>
      </c>
      <c r="J129" s="168" t="s">
        <v>13122</v>
      </c>
      <c r="K129" s="207"/>
      <c r="L129" s="207"/>
      <c r="M129" s="207"/>
      <c r="N129" s="207"/>
      <c r="O129" s="207"/>
      <c r="P129" s="169"/>
      <c r="Q129" s="208"/>
      <c r="R129" s="166" t="str">
        <f ca="1">IF(ISERROR($V129),"",OFFSET('Smelter Look-up'!$C$4,$V129-4,0)&amp;"")</f>
        <v>Guangdong Xianglu Tungsten Co., Ltd.</v>
      </c>
      <c r="S129" s="165" t="str">
        <f t="shared" ca="1" si="14"/>
        <v>CN</v>
      </c>
      <c r="T129" s="165" t="str">
        <f ca="1">IF(B129="","",IF(ISERROR(MATCH($J129,SorP!$B$1:$B$6261,0)),"",INDIRECT("'SorP'!$A$"&amp;MATCH($S129&amp;$J129,SorP!C:C,0))))</f>
        <v>CN-GD</v>
      </c>
      <c r="U129" s="185"/>
      <c r="V129" s="209">
        <f>IF(C129="",NA(),IF(OR(C129="Smelter not listed",C129="Smelter not yet identified"),MATCH($B129&amp;$D129,'Smelter Look-up'!$J:$J,0),MATCH($B129&amp;$C129,'Smelter Look-up'!$J:$J,0)))</f>
        <v>598</v>
      </c>
      <c r="X129" s="210">
        <f t="shared" si="15"/>
        <v>0</v>
      </c>
      <c r="AB129" s="211" t="str">
        <f t="shared" si="16"/>
        <v>TungstenGuangdong Xianglu Tungsten Co., Ltd.</v>
      </c>
    </row>
    <row r="130" spans="1:28" s="210" customFormat="1" ht="102">
      <c r="A130" s="165" t="s">
        <v>760</v>
      </c>
      <c r="B130" s="166" t="s">
        <v>1090</v>
      </c>
      <c r="C130" s="170" t="s">
        <v>1332</v>
      </c>
      <c r="D130" s="213"/>
      <c r="E130" s="166" t="s">
        <v>1058</v>
      </c>
      <c r="F130" s="166" t="s">
        <v>760</v>
      </c>
      <c r="G130" s="166" t="s">
        <v>12764</v>
      </c>
      <c r="H130" s="167"/>
      <c r="I130" s="168" t="s">
        <v>1692</v>
      </c>
      <c r="J130" s="168" t="s">
        <v>13117</v>
      </c>
      <c r="K130" s="207" t="s">
        <v>15947</v>
      </c>
      <c r="L130" s="207" t="s">
        <v>15948</v>
      </c>
      <c r="M130" s="207"/>
      <c r="N130" s="207" t="s">
        <v>15949</v>
      </c>
      <c r="O130" s="207" t="s">
        <v>15950</v>
      </c>
      <c r="P130" s="169" t="s">
        <v>474</v>
      </c>
      <c r="Q130" s="208"/>
      <c r="R130" s="166" t="str">
        <f ca="1">IF(ISERROR($V130),"",OFFSET('Smelter Look-up'!$C$4,$V130-4,0)&amp;"")</f>
        <v>Chongyi Zhangyuan Tungsten Co., Ltd.</v>
      </c>
      <c r="S130" s="165" t="str">
        <f t="shared" ca="1" si="14"/>
        <v>CN</v>
      </c>
      <c r="T130" s="165" t="str">
        <f ca="1">IF(B130="","",IF(ISERROR(MATCH($J130,SorP!$B$1:$B$6261,0)),"",INDIRECT("'SorP'!$A$"&amp;MATCH($S130&amp;$J130,SorP!C:C,0))))</f>
        <v>CN-JX</v>
      </c>
      <c r="U130" s="185"/>
      <c r="V130" s="209">
        <f>IF(C130="",NA(),IF(OR(C130="Smelter not listed",C130="Smelter not yet identified"),MATCH($B130&amp;$D130,'Smelter Look-up'!$J:$J,0),MATCH($B130&amp;$C130,'Smelter Look-up'!$J:$J,0)))</f>
        <v>588</v>
      </c>
      <c r="X130" s="210">
        <f t="shared" si="15"/>
        <v>0</v>
      </c>
      <c r="AB130" s="211" t="str">
        <f t="shared" si="16"/>
        <v>TungstenChongyi Zhangyuan Tungsten Co., Ltd.</v>
      </c>
    </row>
    <row r="131" spans="1:28" s="210" customFormat="1" ht="102">
      <c r="A131" s="165" t="s">
        <v>15951</v>
      </c>
      <c r="B131" s="166" t="s">
        <v>1090</v>
      </c>
      <c r="C131" s="170" t="s">
        <v>1332</v>
      </c>
      <c r="D131" s="213" t="s">
        <v>1332</v>
      </c>
      <c r="E131" s="166" t="s">
        <v>1058</v>
      </c>
      <c r="F131" s="166" t="s">
        <v>760</v>
      </c>
      <c r="G131" s="166" t="s">
        <v>12764</v>
      </c>
      <c r="H131" s="167">
        <v>0</v>
      </c>
      <c r="I131" s="168" t="s">
        <v>1692</v>
      </c>
      <c r="J131" s="168" t="s">
        <v>13117</v>
      </c>
      <c r="K131" s="207" t="s">
        <v>15947</v>
      </c>
      <c r="L131" s="207" t="s">
        <v>15948</v>
      </c>
      <c r="M131" s="207"/>
      <c r="N131" s="207" t="s">
        <v>15949</v>
      </c>
      <c r="O131" s="207" t="s">
        <v>15950</v>
      </c>
      <c r="P131" s="169" t="s">
        <v>474</v>
      </c>
      <c r="Q131" s="208"/>
      <c r="R131" s="166" t="str">
        <f ca="1">IF(ISERROR($V131),"",OFFSET('Smelter Look-up'!$C$4,$V131-4,0)&amp;"")</f>
        <v>Chongyi Zhangyuan Tungsten Co., Ltd.</v>
      </c>
      <c r="S131" s="165" t="str">
        <f t="shared" ca="1" si="14"/>
        <v>CN</v>
      </c>
      <c r="T131" s="165" t="str">
        <f ca="1">IF(B131="","",IF(ISERROR(MATCH($J131,SorP!$B$1:$B$6261,0)),"",INDIRECT("'SorP'!$A$"&amp;MATCH($S131&amp;$J131,SorP!C:C,0))))</f>
        <v>CN-JX</v>
      </c>
      <c r="U131" s="185"/>
      <c r="V131" s="209">
        <f>IF(C131="",NA(),IF(OR(C131="Smelter not listed",C131="Smelter not yet identified"),MATCH($B131&amp;$D131,'Smelter Look-up'!$J:$J,0),MATCH($B131&amp;$C131,'Smelter Look-up'!$J:$J,0)))</f>
        <v>588</v>
      </c>
      <c r="X131" s="210">
        <f t="shared" si="15"/>
        <v>0</v>
      </c>
      <c r="AB131" s="211" t="str">
        <f t="shared" si="16"/>
        <v>TungstenChongyi Zhangyuan Tungsten Co., Ltd.</v>
      </c>
    </row>
    <row r="132" spans="1:28" s="210" customFormat="1" ht="76.5">
      <c r="A132" s="165" t="s">
        <v>761</v>
      </c>
      <c r="B132" s="166" t="s">
        <v>1090</v>
      </c>
      <c r="C132" s="170" t="s">
        <v>15199</v>
      </c>
      <c r="D132" s="213"/>
      <c r="E132" s="166" t="s">
        <v>2323</v>
      </c>
      <c r="F132" s="166" t="s">
        <v>761</v>
      </c>
      <c r="G132" s="166" t="s">
        <v>12764</v>
      </c>
      <c r="H132" s="167">
        <v>0</v>
      </c>
      <c r="I132" s="168" t="s">
        <v>1739</v>
      </c>
      <c r="J132" s="168" t="s">
        <v>1660</v>
      </c>
      <c r="K132" s="207"/>
      <c r="L132" s="207"/>
      <c r="M132" s="207"/>
      <c r="N132" s="207"/>
      <c r="O132" s="207"/>
      <c r="P132" s="169"/>
      <c r="Q132" s="208"/>
      <c r="R132" s="166" t="str">
        <f ca="1">IF(ISERROR($V132),"",OFFSET('Smelter Look-up'!$C$4,$V132-4,0)&amp;"")</f>
        <v>Global Tungsten &amp; Powders LLC</v>
      </c>
      <c r="S132" s="165" t="str">
        <f t="shared" ca="1" si="14"/>
        <v>US</v>
      </c>
      <c r="T132" s="165" t="str">
        <f ca="1">IF(B132="","",IF(ISERROR(MATCH($J132,SorP!$B$1:$B$6261,0)),"",INDIRECT("'SorP'!$A$"&amp;MATCH($S132&amp;$J132,SorP!C:C,0))))</f>
        <v>US-PA</v>
      </c>
      <c r="U132" s="185"/>
      <c r="V132" s="209">
        <f>IF(C132="",NA(),IF(OR(C132="Smelter not listed",C132="Smelter not yet identified"),MATCH($B132&amp;$D132,'Smelter Look-up'!$J:$J,0),MATCH($B132&amp;$C132,'Smelter Look-up'!$J:$J,0)))</f>
        <v>596</v>
      </c>
      <c r="X132" s="210">
        <f t="shared" si="15"/>
        <v>0</v>
      </c>
      <c r="AB132" s="211" t="str">
        <f t="shared" si="16"/>
        <v>TungstenGlobal Tungsten &amp; Powders LLC</v>
      </c>
    </row>
    <row r="133" spans="1:28" s="210" customFormat="1" ht="76.5">
      <c r="A133" s="165" t="s">
        <v>763</v>
      </c>
      <c r="B133" s="166" t="s">
        <v>1090</v>
      </c>
      <c r="C133" s="170" t="s">
        <v>1335</v>
      </c>
      <c r="D133" s="213" t="s">
        <v>1335</v>
      </c>
      <c r="E133" s="166" t="s">
        <v>1066</v>
      </c>
      <c r="F133" s="166" t="s">
        <v>763</v>
      </c>
      <c r="G133" s="166" t="s">
        <v>12764</v>
      </c>
      <c r="H133" s="167"/>
      <c r="I133" s="168" t="s">
        <v>2045</v>
      </c>
      <c r="J133" s="168" t="s">
        <v>1527</v>
      </c>
      <c r="K133" s="207" t="s">
        <v>15952</v>
      </c>
      <c r="L133" s="207" t="s">
        <v>15953</v>
      </c>
      <c r="M133" s="207"/>
      <c r="N133" s="207"/>
      <c r="O133" s="207"/>
      <c r="P133" s="169" t="s">
        <v>474</v>
      </c>
      <c r="Q133" s="208"/>
      <c r="R133" s="166" t="str">
        <f ca="1">IF(ISERROR($V133),"",OFFSET('Smelter Look-up'!$C$4,$V133-4,0)&amp;"")</f>
        <v>Japan New Metals Co., Ltd.</v>
      </c>
      <c r="S133" s="165" t="str">
        <f t="shared" ref="S133" ca="1" si="17">IF(B133="","",IF(ISERROR(MATCH($E133,CL,0)),"Unknown",INDIRECT("'C'!$A$"&amp;MATCH($E133,CL,0)+1)))</f>
        <v>JP</v>
      </c>
      <c r="T133" s="165" t="str">
        <f ca="1">IF(B133="","",IF(ISERROR(MATCH($J133,SorP!$B$1:$B$6261,0)),"",INDIRECT("'SorP'!$A$"&amp;MATCH($S133&amp;$J133,SorP!C:C,0))))</f>
        <v>JP-05</v>
      </c>
      <c r="U133" s="185"/>
      <c r="V133" s="209">
        <f>IF(C133="",NA(),IF(OR(C133="Smelter not listed",C133="Smelter not yet identified"),MATCH($B133&amp;$D133,'Smelter Look-up'!$J:$J,0),MATCH($B133&amp;$C133,'Smelter Look-up'!$J:$J,0)))</f>
        <v>608</v>
      </c>
      <c r="X133" s="210">
        <f t="shared" ref="X133" si="18">IF(AND(C133="Smelter not listed",OR(LEN(D133)=0,LEN(E133)=0)),1,0)</f>
        <v>0</v>
      </c>
      <c r="AB133" s="211" t="str">
        <f t="shared" ref="AB133" si="19">B133&amp;C133</f>
        <v>TungstenJapan New Metals Co., Ltd.</v>
      </c>
    </row>
    <row r="134" spans="1:28" s="210" customFormat="1" ht="51">
      <c r="A134" s="165" t="s">
        <v>764</v>
      </c>
      <c r="B134" s="166" t="s">
        <v>1090</v>
      </c>
      <c r="C134" s="170" t="s">
        <v>140</v>
      </c>
      <c r="D134" s="213"/>
      <c r="E134" s="166" t="s">
        <v>2323</v>
      </c>
      <c r="F134" s="166" t="s">
        <v>764</v>
      </c>
      <c r="G134" s="166" t="s">
        <v>12764</v>
      </c>
      <c r="H134" s="167">
        <v>0</v>
      </c>
      <c r="I134" s="168" t="s">
        <v>1740</v>
      </c>
      <c r="J134" s="168" t="s">
        <v>1676</v>
      </c>
      <c r="K134" s="207"/>
      <c r="L134" s="207"/>
      <c r="M134" s="207"/>
      <c r="N134" s="207"/>
      <c r="O134" s="207"/>
      <c r="P134" s="169"/>
      <c r="Q134" s="208"/>
      <c r="R134" s="166" t="str">
        <f ca="1">IF(ISERROR($V134),"",OFFSET('Smelter Look-up'!$C$4,$V134-4,0)&amp;"")</f>
        <v>Kennametal Fallon</v>
      </c>
      <c r="S134" s="165" t="str">
        <f t="shared" ref="S134:S165" ca="1" si="20">IF(B134="","",IF(ISERROR(MATCH($E134,CL,0)),"Unknown",INDIRECT("'C'!$A$"&amp;MATCH($E134,CL,0)+1)))</f>
        <v>US</v>
      </c>
      <c r="T134" s="165" t="str">
        <f ca="1">IF(B134="","",IF(ISERROR(MATCH($J134,SorP!$B$1:$B$6261,0)),"",INDIRECT("'SorP'!$A$"&amp;MATCH($S134&amp;$J134,SorP!C:C,0))))</f>
        <v>US-NV</v>
      </c>
      <c r="U134" s="185"/>
      <c r="V134" s="209">
        <f>IF(C134="",NA(),IF(OR(C134="Smelter not listed",C134="Smelter not yet identified"),MATCH($B134&amp;$D134,'Smelter Look-up'!$J:$J,0),MATCH($B134&amp;$C134,'Smelter Look-up'!$J:$J,0)))</f>
        <v>619</v>
      </c>
      <c r="X134" s="210">
        <f t="shared" ref="X134:X165" si="21">IF(AND(C134="Smelter not listed",OR(LEN(D134)=0,LEN(E134)=0)),1,0)</f>
        <v>0</v>
      </c>
      <c r="AB134" s="211" t="str">
        <f t="shared" ref="AB134:AB165" si="22">B134&amp;C134</f>
        <v>TungstenKennametal Fallon</v>
      </c>
    </row>
    <row r="135" spans="1:28" s="210" customFormat="1" ht="89.25">
      <c r="A135" s="165" t="s">
        <v>765</v>
      </c>
      <c r="B135" s="166" t="s">
        <v>1090</v>
      </c>
      <c r="C135" s="170" t="s">
        <v>2428</v>
      </c>
      <c r="D135" s="213"/>
      <c r="E135" s="166" t="s">
        <v>1052</v>
      </c>
      <c r="F135" s="166" t="s">
        <v>765</v>
      </c>
      <c r="G135" s="166">
        <v>0</v>
      </c>
      <c r="H135" s="167">
        <v>0</v>
      </c>
      <c r="I135" s="168" t="s">
        <v>1741</v>
      </c>
      <c r="J135" s="168" t="s">
        <v>2693</v>
      </c>
      <c r="K135" s="207"/>
      <c r="L135" s="207"/>
      <c r="M135" s="207"/>
      <c r="N135" s="207"/>
      <c r="O135" s="207"/>
      <c r="P135" s="169"/>
      <c r="Q135" s="208"/>
      <c r="R135" s="166" t="str">
        <f ca="1">IF(ISERROR($V135),"",OFFSET('Smelter Look-up'!$C$4,$V135-4,0)&amp;"")</f>
        <v>Wolfram Bergbau und Hutten AG</v>
      </c>
      <c r="S135" s="165" t="str">
        <f t="shared" ca="1" si="20"/>
        <v>AT</v>
      </c>
      <c r="T135" s="165" t="str">
        <f ca="1">IF(B135="","",IF(ISERROR(MATCH($J135,SorP!$B$1:$B$6261,0)),"",INDIRECT("'SorP'!$A$"&amp;MATCH($S135&amp;$J135,SorP!C:C,0))))</f>
        <v>AT-6</v>
      </c>
      <c r="U135" s="185"/>
      <c r="V135" s="209">
        <f>IF(C135="",NA(),IF(OR(C135="Smelter not listed",C135="Smelter not yet identified"),MATCH($B135&amp;$D135,'Smelter Look-up'!$J:$J,0),MATCH($B135&amp;$C135,'Smelter Look-up'!$J:$J,0)))</f>
        <v>646</v>
      </c>
      <c r="X135" s="210">
        <f t="shared" si="21"/>
        <v>0</v>
      </c>
      <c r="AB135" s="211" t="str">
        <f t="shared" si="22"/>
        <v>TungstenWolfram Bergbau und Hutten AG</v>
      </c>
    </row>
    <row r="136" spans="1:28" s="210" customFormat="1" ht="63.75">
      <c r="A136" s="165" t="s">
        <v>766</v>
      </c>
      <c r="B136" s="166" t="s">
        <v>1090</v>
      </c>
      <c r="C136" s="170" t="s">
        <v>1336</v>
      </c>
      <c r="D136" s="213" t="s">
        <v>1336</v>
      </c>
      <c r="E136" s="166" t="s">
        <v>1058</v>
      </c>
      <c r="F136" s="166" t="s">
        <v>766</v>
      </c>
      <c r="G136" s="166"/>
      <c r="H136" s="167"/>
      <c r="I136" s="168" t="s">
        <v>1744</v>
      </c>
      <c r="J136" s="168" t="s">
        <v>13116</v>
      </c>
      <c r="K136" s="207" t="s">
        <v>15954</v>
      </c>
      <c r="L136" s="207" t="s">
        <v>15955</v>
      </c>
      <c r="M136" s="207"/>
      <c r="N136" s="207" t="s">
        <v>15956</v>
      </c>
      <c r="O136" s="207" t="s">
        <v>15957</v>
      </c>
      <c r="P136" s="169" t="s">
        <v>474</v>
      </c>
      <c r="Q136" s="208"/>
      <c r="R136" s="166" t="str">
        <f ca="1">IF(ISERROR($V136),"",OFFSET('Smelter Look-up'!$C$4,$V136-4,0)&amp;"")</f>
        <v>Xiamen Tungsten Co., Ltd.</v>
      </c>
      <c r="S136" s="165" t="str">
        <f t="shared" ca="1" si="20"/>
        <v>CN</v>
      </c>
      <c r="T136" s="165" t="str">
        <f ca="1">IF(B136="","",IF(ISERROR(MATCH($J136,SorP!$B$1:$B$6261,0)),"",INDIRECT("'SorP'!$A$"&amp;MATCH($S136&amp;$J136,SorP!C:C,0))))</f>
        <v>CN-FJ</v>
      </c>
      <c r="U136" s="185"/>
      <c r="V136" s="209">
        <f>IF(C136="",NA(),IF(OR(C136="Smelter not listed",C136="Smelter not yet identified"),MATCH($B136&amp;$D136,'Smelter Look-up'!$J:$J,0),MATCH($B136&amp;$C136,'Smelter Look-up'!$J:$J,0)))</f>
        <v>650</v>
      </c>
      <c r="X136" s="210">
        <f t="shared" si="21"/>
        <v>0</v>
      </c>
      <c r="AB136" s="211" t="str">
        <f t="shared" si="22"/>
        <v>TungstenXiamen Tungsten Co., Ltd.</v>
      </c>
    </row>
    <row r="137" spans="1:28" s="210" customFormat="1" ht="89.25">
      <c r="A137" s="165" t="s">
        <v>133</v>
      </c>
      <c r="B137" s="166" t="s">
        <v>1090</v>
      </c>
      <c r="C137" s="170" t="s">
        <v>142</v>
      </c>
      <c r="D137" s="213"/>
      <c r="E137" s="166" t="s">
        <v>1058</v>
      </c>
      <c r="F137" s="166" t="s">
        <v>133</v>
      </c>
      <c r="G137" s="166" t="s">
        <v>12764</v>
      </c>
      <c r="H137" s="167">
        <v>0</v>
      </c>
      <c r="I137" s="168" t="s">
        <v>1692</v>
      </c>
      <c r="J137" s="168" t="s">
        <v>13117</v>
      </c>
      <c r="K137" s="207"/>
      <c r="L137" s="207"/>
      <c r="M137" s="207"/>
      <c r="N137" s="207"/>
      <c r="O137" s="207"/>
      <c r="P137" s="169"/>
      <c r="Q137" s="208"/>
      <c r="R137" s="166" t="str">
        <f ca="1">IF(ISERROR($V137),"",OFFSET('Smelter Look-up'!$C$4,$V137-4,0)&amp;"")</f>
        <v>Jiangxi Yaosheng Tungsten Co., Ltd.</v>
      </c>
      <c r="S137" s="165" t="str">
        <f t="shared" ca="1" si="20"/>
        <v>CN</v>
      </c>
      <c r="T137" s="165" t="str">
        <f ca="1">IF(B137="","",IF(ISERROR(MATCH($J137,SorP!$B$1:$B$6261,0)),"",INDIRECT("'SorP'!$A$"&amp;MATCH($S137&amp;$J137,SorP!C:C,0))))</f>
        <v>CN-JX</v>
      </c>
      <c r="U137" s="185"/>
      <c r="V137" s="209">
        <f>IF(C137="",NA(),IF(OR(C137="Smelter not listed",C137="Smelter not yet identified"),MATCH($B137&amp;$D137,'Smelter Look-up'!$J:$J,0),MATCH($B137&amp;$C137,'Smelter Look-up'!$J:$J,0)))</f>
        <v>613</v>
      </c>
      <c r="X137" s="210">
        <f t="shared" si="21"/>
        <v>0</v>
      </c>
      <c r="AB137" s="211" t="str">
        <f t="shared" si="22"/>
        <v>TungstenJiangxi Yaosheng Tungsten Co., Ltd.</v>
      </c>
    </row>
    <row r="138" spans="1:28" s="210" customFormat="1" ht="114.75">
      <c r="A138" s="165" t="s">
        <v>134</v>
      </c>
      <c r="B138" s="166" t="s">
        <v>1090</v>
      </c>
      <c r="C138" s="170" t="s">
        <v>143</v>
      </c>
      <c r="D138" s="213"/>
      <c r="E138" s="166" t="s">
        <v>1058</v>
      </c>
      <c r="F138" s="166" t="s">
        <v>134</v>
      </c>
      <c r="G138" s="166" t="s">
        <v>12764</v>
      </c>
      <c r="H138" s="167">
        <v>0</v>
      </c>
      <c r="I138" s="168" t="s">
        <v>1692</v>
      </c>
      <c r="J138" s="168" t="s">
        <v>13117</v>
      </c>
      <c r="K138" s="207"/>
      <c r="L138" s="207"/>
      <c r="M138" s="207"/>
      <c r="N138" s="207"/>
      <c r="O138" s="207"/>
      <c r="P138" s="169"/>
      <c r="Q138" s="208"/>
      <c r="R138" s="166" t="str">
        <f ca="1">IF(ISERROR($V138),"",OFFSET('Smelter Look-up'!$C$4,$V138-4,0)&amp;"")</f>
        <v>Jiangxi Xinsheng Tungsten Industry Co., Ltd.</v>
      </c>
      <c r="S138" s="165" t="str">
        <f t="shared" ca="1" si="20"/>
        <v>CN</v>
      </c>
      <c r="T138" s="165" t="str">
        <f ca="1">IF(B138="","",IF(ISERROR(MATCH($J138,SorP!$B$1:$B$6261,0)),"",INDIRECT("'SorP'!$A$"&amp;MATCH($S138&amp;$J138,SorP!C:C,0))))</f>
        <v>CN-JX</v>
      </c>
      <c r="U138" s="185"/>
      <c r="V138" s="209">
        <f>IF(C138="",NA(),IF(OR(C138="Smelter not listed",C138="Smelter not yet identified"),MATCH($B138&amp;$D138,'Smelter Look-up'!$J:$J,0),MATCH($B138&amp;$C138,'Smelter Look-up'!$J:$J,0)))</f>
        <v>612</v>
      </c>
      <c r="X138" s="210">
        <f t="shared" si="21"/>
        <v>0</v>
      </c>
      <c r="AB138" s="211" t="str">
        <f t="shared" si="22"/>
        <v>TungstenJiangxi Xinsheng Tungsten Industry Co., Ltd.</v>
      </c>
    </row>
    <row r="139" spans="1:28" s="210" customFormat="1" ht="127.5">
      <c r="A139" s="165" t="s">
        <v>15958</v>
      </c>
      <c r="B139" s="166" t="s">
        <v>1090</v>
      </c>
      <c r="C139" s="170" t="s">
        <v>15959</v>
      </c>
      <c r="D139" s="213"/>
      <c r="E139" s="166" t="s">
        <v>1058</v>
      </c>
      <c r="F139" s="166" t="s">
        <v>15958</v>
      </c>
      <c r="G139" s="166" t="s">
        <v>12764</v>
      </c>
      <c r="H139" s="167">
        <v>0</v>
      </c>
      <c r="I139" s="168" t="s">
        <v>15960</v>
      </c>
      <c r="J139" s="168" t="s">
        <v>13117</v>
      </c>
      <c r="K139" s="207"/>
      <c r="L139" s="207"/>
      <c r="M139" s="207"/>
      <c r="N139" s="207"/>
      <c r="O139" s="207"/>
      <c r="P139" s="169"/>
      <c r="Q139" s="208"/>
      <c r="R139" s="166" t="str">
        <f ca="1">IF(ISERROR($V139),"",OFFSET('Smelter Look-up'!$C$4,$V139-4,0)&amp;"")</f>
        <v/>
      </c>
      <c r="S139" s="165" t="str">
        <f t="shared" ca="1" si="20"/>
        <v>CN</v>
      </c>
      <c r="T139" s="165" t="str">
        <f ca="1">IF(B139="","",IF(ISERROR(MATCH($J139,SorP!$B$1:$B$6261,0)),"",INDIRECT("'SorP'!$A$"&amp;MATCH($S139&amp;$J139,SorP!C:C,0))))</f>
        <v>CN-JX</v>
      </c>
      <c r="U139" s="185"/>
      <c r="V139" s="209" t="e">
        <f>IF(C139="",NA(),IF(OR(C139="Smelter not listed",C139="Smelter not yet identified"),MATCH($B139&amp;$D139,'Smelter Look-up'!$J:$J,0),MATCH($B139&amp;$C139,'Smelter Look-up'!$J:$J,0)))</f>
        <v>#N/A</v>
      </c>
      <c r="X139" s="210">
        <f t="shared" si="21"/>
        <v>0</v>
      </c>
      <c r="AB139" s="211" t="str">
        <f t="shared" si="22"/>
        <v>TungstenJiangxi Tonggu Non-ferrous Metallurgical &amp; Chemical Co., Ltd.</v>
      </c>
    </row>
    <row r="140" spans="1:28" s="210" customFormat="1" ht="76.5">
      <c r="A140" s="165" t="s">
        <v>135</v>
      </c>
      <c r="B140" s="166" t="s">
        <v>1090</v>
      </c>
      <c r="C140" s="170" t="s">
        <v>144</v>
      </c>
      <c r="D140" s="213"/>
      <c r="E140" s="166" t="s">
        <v>1058</v>
      </c>
      <c r="F140" s="166" t="s">
        <v>135</v>
      </c>
      <c r="G140" s="166" t="s">
        <v>12764</v>
      </c>
      <c r="H140" s="167">
        <v>0</v>
      </c>
      <c r="I140" s="168" t="s">
        <v>15211</v>
      </c>
      <c r="J140" s="168" t="s">
        <v>13126</v>
      </c>
      <c r="K140" s="207"/>
      <c r="L140" s="207"/>
      <c r="M140" s="207"/>
      <c r="N140" s="207"/>
      <c r="O140" s="207"/>
      <c r="P140" s="169"/>
      <c r="Q140" s="208"/>
      <c r="R140" s="166" t="str">
        <f ca="1">IF(ISERROR($V140),"",OFFSET('Smelter Look-up'!$C$4,$V140-4,0)&amp;"")</f>
        <v>Malipo Haiyu Tungsten Co., Ltd.</v>
      </c>
      <c r="S140" s="165" t="str">
        <f t="shared" ca="1" si="20"/>
        <v>CN</v>
      </c>
      <c r="T140" s="165" t="str">
        <f ca="1">IF(B140="","",IF(ISERROR(MATCH($J140,SorP!$B$1:$B$6261,0)),"",INDIRECT("'SorP'!$A$"&amp;MATCH($S140&amp;$J140,SorP!C:C,0))))</f>
        <v>CN-YN</v>
      </c>
      <c r="U140" s="185"/>
      <c r="V140" s="209">
        <f>IF(C140="",NA(),IF(OR(C140="Smelter not listed",C140="Smelter not yet identified"),MATCH($B140&amp;$D140,'Smelter Look-up'!$J:$J,0),MATCH($B140&amp;$C140,'Smelter Look-up'!$J:$J,0)))</f>
        <v>623</v>
      </c>
      <c r="X140" s="210">
        <f t="shared" si="21"/>
        <v>0</v>
      </c>
      <c r="AB140" s="211" t="str">
        <f t="shared" si="22"/>
        <v>TungstenMalipo Haiyu Tungsten Co., Ltd.</v>
      </c>
    </row>
    <row r="141" spans="1:28" s="210" customFormat="1" ht="76.5">
      <c r="A141" s="165" t="s">
        <v>136</v>
      </c>
      <c r="B141" s="166" t="s">
        <v>1090</v>
      </c>
      <c r="C141" s="170" t="s">
        <v>145</v>
      </c>
      <c r="D141" s="213" t="s">
        <v>145</v>
      </c>
      <c r="E141" s="166" t="s">
        <v>1058</v>
      </c>
      <c r="F141" s="166" t="s">
        <v>136</v>
      </c>
      <c r="G141" s="166"/>
      <c r="H141" s="167"/>
      <c r="I141" s="168" t="s">
        <v>1744</v>
      </c>
      <c r="J141" s="168" t="s">
        <v>13116</v>
      </c>
      <c r="K141" s="207" t="s">
        <v>15961</v>
      </c>
      <c r="L141" s="207" t="s">
        <v>15962</v>
      </c>
      <c r="M141" s="207"/>
      <c r="N141" s="207"/>
      <c r="O141" s="207" t="s">
        <v>15963</v>
      </c>
      <c r="P141" s="169" t="s">
        <v>474</v>
      </c>
      <c r="Q141" s="208"/>
      <c r="R141" s="166" t="str">
        <f ca="1">IF(ISERROR($V141),"",OFFSET('Smelter Look-up'!$C$4,$V141-4,0)&amp;"")</f>
        <v>Xiamen Tungsten (H.C.) Co., Ltd.</v>
      </c>
      <c r="S141" s="165" t="str">
        <f t="shared" ca="1" si="20"/>
        <v>CN</v>
      </c>
      <c r="T141" s="165" t="str">
        <f ca="1">IF(B141="","",IF(ISERROR(MATCH($J141,SorP!$B$1:$B$6261,0)),"",INDIRECT("'SorP'!$A$"&amp;MATCH($S141&amp;$J141,SorP!C:C,0))))</f>
        <v>CN-FJ</v>
      </c>
      <c r="U141" s="185"/>
      <c r="V141" s="209">
        <f>IF(C141="",NA(),IF(OR(C141="Smelter not listed",C141="Smelter not yet identified"),MATCH($B141&amp;$D141,'Smelter Look-up'!$J:$J,0),MATCH($B141&amp;$C141,'Smelter Look-up'!$J:$J,0)))</f>
        <v>649</v>
      </c>
      <c r="X141" s="210">
        <f t="shared" si="21"/>
        <v>0</v>
      </c>
      <c r="AB141" s="211" t="str">
        <f t="shared" si="22"/>
        <v>TungstenXiamen Tungsten (H.C.) Co., Ltd.</v>
      </c>
    </row>
    <row r="142" spans="1:28" s="210" customFormat="1" ht="76.5">
      <c r="A142" s="165" t="s">
        <v>130</v>
      </c>
      <c r="B142" s="166" t="s">
        <v>1090</v>
      </c>
      <c r="C142" s="170" t="s">
        <v>146</v>
      </c>
      <c r="D142" s="213"/>
      <c r="E142" s="166" t="s">
        <v>1058</v>
      </c>
      <c r="F142" s="166" t="s">
        <v>130</v>
      </c>
      <c r="G142" s="166" t="s">
        <v>12764</v>
      </c>
      <c r="H142" s="167">
        <v>0</v>
      </c>
      <c r="I142" s="168" t="s">
        <v>1747</v>
      </c>
      <c r="J142" s="168" t="s">
        <v>13117</v>
      </c>
      <c r="K142" s="207"/>
      <c r="L142" s="207"/>
      <c r="M142" s="207"/>
      <c r="N142" s="207"/>
      <c r="O142" s="207"/>
      <c r="P142" s="169"/>
      <c r="Q142" s="208"/>
      <c r="R142" s="166" t="str">
        <f ca="1">IF(ISERROR($V142),"",OFFSET('Smelter Look-up'!$C$4,$V142-4,0)&amp;"")</f>
        <v>Jiangxi Gan Bei Tungsten Co., Ltd.</v>
      </c>
      <c r="S142" s="165" t="str">
        <f t="shared" ca="1" si="20"/>
        <v>CN</v>
      </c>
      <c r="T142" s="165" t="str">
        <f ca="1">IF(B142="","",IF(ISERROR(MATCH($J142,SorP!$B$1:$B$6261,0)),"",INDIRECT("'SorP'!$A$"&amp;MATCH($S142&amp;$J142,SorP!C:C,0))))</f>
        <v>CN-JX</v>
      </c>
      <c r="U142" s="185"/>
      <c r="V142" s="209">
        <f>IF(C142="",NA(),IF(OR(C142="Smelter not listed",C142="Smelter not yet identified"),MATCH($B142&amp;$D142,'Smelter Look-up'!$J:$J,0),MATCH($B142&amp;$C142,'Smelter Look-up'!$J:$J,0)))</f>
        <v>610</v>
      </c>
      <c r="X142" s="210">
        <f t="shared" si="21"/>
        <v>0</v>
      </c>
      <c r="AB142" s="211" t="str">
        <f t="shared" si="22"/>
        <v>TungstenJiangxi Gan Bei Tungsten Co., Ltd.</v>
      </c>
    </row>
    <row r="143" spans="1:28" s="210" customFormat="1" ht="89.25">
      <c r="A143" s="165" t="s">
        <v>378</v>
      </c>
      <c r="B143" s="166" t="s">
        <v>1090</v>
      </c>
      <c r="C143" s="170" t="s">
        <v>377</v>
      </c>
      <c r="D143" s="213"/>
      <c r="E143" s="166" t="s">
        <v>1058</v>
      </c>
      <c r="F143" s="166" t="s">
        <v>378</v>
      </c>
      <c r="G143" s="166" t="s">
        <v>12764</v>
      </c>
      <c r="H143" s="167"/>
      <c r="I143" s="168" t="s">
        <v>1692</v>
      </c>
      <c r="J143" s="168" t="s">
        <v>13117</v>
      </c>
      <c r="K143" s="207"/>
      <c r="L143" s="207"/>
      <c r="M143" s="207"/>
      <c r="N143" s="207"/>
      <c r="O143" s="207"/>
      <c r="P143" s="169"/>
      <c r="Q143" s="208"/>
      <c r="R143" s="166" t="str">
        <f ca="1">IF(ISERROR($V143),"",OFFSET('Smelter Look-up'!$C$4,$V143-4,0)&amp;"")</f>
        <v>Ganzhou Seadragon W &amp; Mo Co., Ltd.</v>
      </c>
      <c r="S143" s="165" t="str">
        <f t="shared" ca="1" si="20"/>
        <v>CN</v>
      </c>
      <c r="T143" s="165" t="str">
        <f ca="1">IF(B143="","",IF(ISERROR(MATCH($J143,SorP!$B$1:$B$6261,0)),"",INDIRECT("'SorP'!$A$"&amp;MATCH($S143&amp;$J143,SorP!C:C,0))))</f>
        <v>CN-JX</v>
      </c>
      <c r="U143" s="185"/>
      <c r="V143" s="209">
        <f>IF(C143="",NA(),IF(OR(C143="Smelter not listed",C143="Smelter not yet identified"),MATCH($B143&amp;$D143,'Smelter Look-up'!$J:$J,0),MATCH($B143&amp;$C143,'Smelter Look-up'!$J:$J,0)))</f>
        <v>593</v>
      </c>
      <c r="X143" s="210">
        <f t="shared" si="21"/>
        <v>0</v>
      </c>
      <c r="AB143" s="211" t="str">
        <f t="shared" si="22"/>
        <v>TungstenGanzhou Seadragon W &amp; Mo Co., Ltd.</v>
      </c>
    </row>
    <row r="144" spans="1:28" s="210" customFormat="1" ht="89.25">
      <c r="A144" s="165" t="s">
        <v>378</v>
      </c>
      <c r="B144" s="166" t="s">
        <v>1090</v>
      </c>
      <c r="C144" s="170" t="s">
        <v>377</v>
      </c>
      <c r="D144" s="213"/>
      <c r="E144" s="166" t="s">
        <v>1058</v>
      </c>
      <c r="F144" s="166" t="s">
        <v>378</v>
      </c>
      <c r="G144" s="166" t="s">
        <v>12764</v>
      </c>
      <c r="H144" s="167">
        <v>0</v>
      </c>
      <c r="I144" s="168" t="s">
        <v>1692</v>
      </c>
      <c r="J144" s="168" t="s">
        <v>13117</v>
      </c>
      <c r="K144" s="207"/>
      <c r="L144" s="207"/>
      <c r="M144" s="207"/>
      <c r="N144" s="207"/>
      <c r="O144" s="207"/>
      <c r="P144" s="169"/>
      <c r="Q144" s="208"/>
      <c r="R144" s="166" t="str">
        <f ca="1">IF(ISERROR($V144),"",OFFSET('Smelter Look-up'!$C$4,$V144-4,0)&amp;"")</f>
        <v>Ganzhou Seadragon W &amp; Mo Co., Ltd.</v>
      </c>
      <c r="S144" s="165" t="str">
        <f t="shared" ca="1" si="20"/>
        <v>CN</v>
      </c>
      <c r="T144" s="165" t="str">
        <f ca="1">IF(B144="","",IF(ISERROR(MATCH($J144,SorP!$B$1:$B$6261,0)),"",INDIRECT("'SorP'!$A$"&amp;MATCH($S144&amp;$J144,SorP!C:C,0))))</f>
        <v>CN-JX</v>
      </c>
      <c r="U144" s="185"/>
      <c r="V144" s="209">
        <f>IF(C144="",NA(),IF(OR(C144="Smelter not listed",C144="Smelter not yet identified"),MATCH($B144&amp;$D144,'Smelter Look-up'!$J:$J,0),MATCH($B144&amp;$C144,'Smelter Look-up'!$J:$J,0)))</f>
        <v>593</v>
      </c>
      <c r="X144" s="210">
        <f t="shared" si="21"/>
        <v>0</v>
      </c>
      <c r="AB144" s="211" t="str">
        <f t="shared" si="22"/>
        <v>TungstenGanzhou Seadragon W &amp; Mo Co., Ltd.</v>
      </c>
    </row>
    <row r="145" spans="1:28" s="210" customFormat="1" ht="102">
      <c r="A145" s="165" t="s">
        <v>13351</v>
      </c>
      <c r="B145" s="166" t="s">
        <v>1090</v>
      </c>
      <c r="C145" s="170" t="s">
        <v>13337</v>
      </c>
      <c r="D145" s="213"/>
      <c r="E145" s="166" t="s">
        <v>852</v>
      </c>
      <c r="F145" s="166" t="s">
        <v>13351</v>
      </c>
      <c r="G145" s="166" t="s">
        <v>12764</v>
      </c>
      <c r="H145" s="167">
        <v>0</v>
      </c>
      <c r="I145" s="168" t="s">
        <v>13360</v>
      </c>
      <c r="J145" s="168" t="s">
        <v>1748</v>
      </c>
      <c r="K145" s="207"/>
      <c r="L145" s="207"/>
      <c r="M145" s="207"/>
      <c r="N145" s="207"/>
      <c r="O145" s="207"/>
      <c r="P145" s="169"/>
      <c r="Q145" s="208"/>
      <c r="R145" s="166" t="str">
        <f ca="1">IF(ISERROR($V145),"",OFFSET('Smelter Look-up'!$C$4,$V145-4,0)&amp;"")</f>
        <v>Asia Tungsten Products Vietnam Ltd.</v>
      </c>
      <c r="S145" s="165" t="str">
        <f t="shared" ca="1" si="20"/>
        <v>VN</v>
      </c>
      <c r="T145" s="165" t="str">
        <f ca="1">IF(B145="","",IF(ISERROR(MATCH($J145,SorP!$B$1:$B$6261,0)),"",INDIRECT("'SorP'!$A$"&amp;MATCH($S145&amp;$J145,SorP!C:C,0))))</f>
        <v/>
      </c>
      <c r="U145" s="185"/>
      <c r="V145" s="209">
        <f>IF(C145="",NA(),IF(OR(C145="Smelter not listed",C145="Smelter not yet identified"),MATCH($B145&amp;$D145,'Smelter Look-up'!$J:$J,0),MATCH($B145&amp;$C145,'Smelter Look-up'!$J:$J,0)))</f>
        <v>580</v>
      </c>
      <c r="X145" s="210">
        <f t="shared" si="21"/>
        <v>0</v>
      </c>
      <c r="AB145" s="211" t="str">
        <f t="shared" si="22"/>
        <v>TungstenAsia Tungsten Products Vietnam Ltd.</v>
      </c>
    </row>
    <row r="146" spans="1:28" s="210" customFormat="1" ht="63.75">
      <c r="A146" s="165" t="s">
        <v>1378</v>
      </c>
      <c r="B146" s="166" t="s">
        <v>1090</v>
      </c>
      <c r="C146" s="170" t="s">
        <v>2425</v>
      </c>
      <c r="D146" s="213"/>
      <c r="E146" s="166" t="s">
        <v>1059</v>
      </c>
      <c r="F146" s="166" t="s">
        <v>1378</v>
      </c>
      <c r="G146" s="166" t="s">
        <v>12764</v>
      </c>
      <c r="H146" s="167">
        <v>0</v>
      </c>
      <c r="I146" s="168" t="s">
        <v>1670</v>
      </c>
      <c r="J146" s="168" t="s">
        <v>4121</v>
      </c>
      <c r="K146" s="207"/>
      <c r="L146" s="207"/>
      <c r="M146" s="207"/>
      <c r="N146" s="207"/>
      <c r="O146" s="207"/>
      <c r="P146" s="169"/>
      <c r="Q146" s="208"/>
      <c r="R146" s="166" t="str">
        <f ca="1">IF(ISERROR($V146),"",OFFSET('Smelter Look-up'!$C$4,$V146-4,0)&amp;"")</f>
        <v>H.C. Starck Tungsten GmbH</v>
      </c>
      <c r="S146" s="165" t="str">
        <f t="shared" ca="1" si="20"/>
        <v>DE</v>
      </c>
      <c r="T146" s="165" t="str">
        <f ca="1">IF(B146="","",IF(ISERROR(MATCH($J146,SorP!$B$1:$B$6261,0)),"",INDIRECT("'SorP'!$A$"&amp;MATCH($S146&amp;$J146,SorP!C:C,0))))</f>
        <v>DE-NI</v>
      </c>
      <c r="U146" s="185"/>
      <c r="V146" s="209">
        <f>IF(C146="",NA(),IF(OR(C146="Smelter not listed",C146="Smelter not yet identified"),MATCH($B146&amp;$D146,'Smelter Look-up'!$J:$J,0),MATCH($B146&amp;$C146,'Smelter Look-up'!$J:$J,0)))</f>
        <v>600</v>
      </c>
      <c r="X146" s="210">
        <f t="shared" si="21"/>
        <v>0</v>
      </c>
      <c r="AB146" s="211" t="str">
        <f t="shared" si="22"/>
        <v>TungstenH.C. Starck Tungsten GmbH</v>
      </c>
    </row>
    <row r="147" spans="1:28" s="210" customFormat="1" ht="76.5">
      <c r="A147" s="165" t="s">
        <v>1379</v>
      </c>
      <c r="B147" s="166" t="s">
        <v>1090</v>
      </c>
      <c r="C147" s="170" t="s">
        <v>14521</v>
      </c>
      <c r="D147" s="213"/>
      <c r="E147" s="166" t="s">
        <v>1059</v>
      </c>
      <c r="F147" s="166" t="s">
        <v>1379</v>
      </c>
      <c r="G147" s="166">
        <v>0</v>
      </c>
      <c r="H147" s="167">
        <v>0</v>
      </c>
      <c r="I147" s="168" t="s">
        <v>1671</v>
      </c>
      <c r="J147" s="168" t="s">
        <v>1499</v>
      </c>
      <c r="K147" s="207"/>
      <c r="L147" s="207"/>
      <c r="M147" s="207"/>
      <c r="N147" s="207"/>
      <c r="O147" s="207"/>
      <c r="P147" s="169"/>
      <c r="Q147" s="208"/>
      <c r="R147" s="166" t="str">
        <f ca="1">IF(ISERROR($V147),"",OFFSET('Smelter Look-up'!$C$4,$V147-4,0)&amp;"")</f>
        <v>TANIOBIS Smelting GmbH &amp; Co. KG</v>
      </c>
      <c r="S147" s="165" t="str">
        <f t="shared" ca="1" si="20"/>
        <v>DE</v>
      </c>
      <c r="T147" s="165" t="str">
        <f ca="1">IF(B147="","",IF(ISERROR(MATCH($J147,SorP!$B$1:$B$6261,0)),"",INDIRECT("'SorP'!$A$"&amp;MATCH($S147&amp;$J147,SorP!C:C,0))))</f>
        <v>DE-BW</v>
      </c>
      <c r="U147" s="185"/>
      <c r="V147" s="209">
        <f>IF(C147="",NA(),IF(OR(C147="Smelter not listed",C147="Smelter not yet identified"),MATCH($B147&amp;$D147,'Smelter Look-up'!$J:$J,0),MATCH($B147&amp;$C147,'Smelter Look-up'!$J:$J,0)))</f>
        <v>638</v>
      </c>
      <c r="X147" s="210">
        <f t="shared" si="21"/>
        <v>0</v>
      </c>
      <c r="AB147" s="211" t="str">
        <f t="shared" si="22"/>
        <v>TungstenTANIOBIS Smelting GmbH &amp; Co. KG</v>
      </c>
    </row>
    <row r="148" spans="1:28" s="210" customFormat="1" ht="76.5">
      <c r="A148" s="165" t="s">
        <v>1382</v>
      </c>
      <c r="B148" s="166" t="s">
        <v>1090</v>
      </c>
      <c r="C148" s="170" t="s">
        <v>14542</v>
      </c>
      <c r="D148" s="213"/>
      <c r="E148" s="166" t="s">
        <v>852</v>
      </c>
      <c r="F148" s="166" t="s">
        <v>1382</v>
      </c>
      <c r="G148" s="166" t="s">
        <v>12764</v>
      </c>
      <c r="H148" s="167"/>
      <c r="I148" s="168" t="s">
        <v>1749</v>
      </c>
      <c r="J148" s="168" t="s">
        <v>11692</v>
      </c>
      <c r="K148" s="207"/>
      <c r="L148" s="207"/>
      <c r="M148" s="207"/>
      <c r="N148" s="207"/>
      <c r="O148" s="207"/>
      <c r="P148" s="169"/>
      <c r="Q148" s="208"/>
      <c r="R148" s="166" t="str">
        <f ca="1">IF(ISERROR($V148),"",OFFSET('Smelter Look-up'!$C$4,$V148-4,0)&amp;"")</f>
        <v>Masan High-Tech Materials</v>
      </c>
      <c r="S148" s="165" t="str">
        <f t="shared" ca="1" si="20"/>
        <v>VN</v>
      </c>
      <c r="T148" s="165" t="str">
        <f ca="1">IF(B148="","",IF(ISERROR(MATCH($J148,SorP!$B$1:$B$6261,0)),"",INDIRECT("'SorP'!$A$"&amp;MATCH($S148&amp;$J148,SorP!C:C,0))))</f>
        <v>VN-69</v>
      </c>
      <c r="U148" s="185"/>
      <c r="V148" s="209">
        <f>IF(C148="",NA(),IF(OR(C148="Smelter not listed",C148="Smelter not yet identified"),MATCH($B148&amp;$D148,'Smelter Look-up'!$J:$J,0),MATCH($B148&amp;$C148,'Smelter Look-up'!$J:$J,0)))</f>
        <v>624</v>
      </c>
      <c r="X148" s="210">
        <f t="shared" si="21"/>
        <v>0</v>
      </c>
      <c r="AB148" s="211" t="str">
        <f t="shared" si="22"/>
        <v>TungstenMasan High-Tech Materials</v>
      </c>
    </row>
    <row r="149" spans="1:28" s="210" customFormat="1" ht="76.5">
      <c r="A149" s="165" t="s">
        <v>1382</v>
      </c>
      <c r="B149" s="166" t="s">
        <v>1090</v>
      </c>
      <c r="C149" s="170" t="s">
        <v>14542</v>
      </c>
      <c r="D149" s="213"/>
      <c r="E149" s="166" t="s">
        <v>852</v>
      </c>
      <c r="F149" s="166" t="s">
        <v>1382</v>
      </c>
      <c r="G149" s="166" t="s">
        <v>12764</v>
      </c>
      <c r="H149" s="167">
        <v>0</v>
      </c>
      <c r="I149" s="168" t="s">
        <v>1749</v>
      </c>
      <c r="J149" s="168" t="s">
        <v>11692</v>
      </c>
      <c r="K149" s="207"/>
      <c r="L149" s="207"/>
      <c r="M149" s="207"/>
      <c r="N149" s="207"/>
      <c r="O149" s="207"/>
      <c r="P149" s="169"/>
      <c r="Q149" s="208"/>
      <c r="R149" s="166" t="str">
        <f ca="1">IF(ISERROR($V149),"",OFFSET('Smelter Look-up'!$C$4,$V149-4,0)&amp;"")</f>
        <v>Masan High-Tech Materials</v>
      </c>
      <c r="S149" s="165" t="str">
        <f t="shared" ca="1" si="20"/>
        <v>VN</v>
      </c>
      <c r="T149" s="165" t="str">
        <f ca="1">IF(B149="","",IF(ISERROR(MATCH($J149,SorP!$B$1:$B$6261,0)),"",INDIRECT("'SorP'!$A$"&amp;MATCH($S149&amp;$J149,SorP!C:C,0))))</f>
        <v>VN-69</v>
      </c>
      <c r="U149" s="185"/>
      <c r="V149" s="209">
        <f>IF(C149="",NA(),IF(OR(C149="Smelter not listed",C149="Smelter not yet identified"),MATCH($B149&amp;$D149,'Smelter Look-up'!$J:$J,0),MATCH($B149&amp;$C149,'Smelter Look-up'!$J:$J,0)))</f>
        <v>624</v>
      </c>
      <c r="X149" s="210">
        <f t="shared" si="21"/>
        <v>0</v>
      </c>
      <c r="AB149" s="211" t="str">
        <f t="shared" si="22"/>
        <v>TungstenMasan High-Tech Materials</v>
      </c>
    </row>
    <row r="150" spans="1:28" s="210" customFormat="1" ht="114.75">
      <c r="A150" s="165" t="s">
        <v>1381</v>
      </c>
      <c r="B150" s="166" t="s">
        <v>1090</v>
      </c>
      <c r="C150" s="170" t="s">
        <v>1380</v>
      </c>
      <c r="D150" s="213"/>
      <c r="E150" s="166" t="s">
        <v>1058</v>
      </c>
      <c r="F150" s="166" t="s">
        <v>1381</v>
      </c>
      <c r="G150" s="166" t="s">
        <v>12764</v>
      </c>
      <c r="H150" s="167">
        <v>0</v>
      </c>
      <c r="I150" s="168" t="s">
        <v>1692</v>
      </c>
      <c r="J150" s="168" t="s">
        <v>13117</v>
      </c>
      <c r="K150" s="207"/>
      <c r="L150" s="207"/>
      <c r="M150" s="207"/>
      <c r="N150" s="207"/>
      <c r="O150" s="207"/>
      <c r="P150" s="169"/>
      <c r="Q150" s="208"/>
      <c r="R150" s="166" t="str">
        <f ca="1">IF(ISERROR($V150),"",OFFSET('Smelter Look-up'!$C$4,$V150-4,0)&amp;"")</f>
        <v>Jiangwu H.C. Starck Tungsten Products Co., Ltd.</v>
      </c>
      <c r="S150" s="165" t="str">
        <f t="shared" ca="1" si="20"/>
        <v>CN</v>
      </c>
      <c r="T150" s="165" t="str">
        <f ca="1">IF(B150="","",IF(ISERROR(MATCH($J150,SorP!$B$1:$B$6261,0)),"",INDIRECT("'SorP'!$A$"&amp;MATCH($S150&amp;$J150,SorP!C:C,0))))</f>
        <v>CN-JX</v>
      </c>
      <c r="U150" s="185"/>
      <c r="V150" s="209">
        <f>IF(C150="",NA(),IF(OR(C150="Smelter not listed",C150="Smelter not yet identified"),MATCH($B150&amp;$D150,'Smelter Look-up'!$J:$J,0),MATCH($B150&amp;$C150,'Smelter Look-up'!$J:$J,0)))</f>
        <v>609</v>
      </c>
      <c r="X150" s="210">
        <f t="shared" si="21"/>
        <v>0</v>
      </c>
      <c r="AB150" s="211" t="str">
        <f t="shared" si="22"/>
        <v>TungstenJiangwu H.C. Starck Tungsten Products Co., Ltd.</v>
      </c>
    </row>
    <row r="151" spans="1:28" s="210" customFormat="1" ht="63.75">
      <c r="A151" s="165" t="s">
        <v>1751</v>
      </c>
      <c r="B151" s="166" t="s">
        <v>1090</v>
      </c>
      <c r="C151" s="170" t="s">
        <v>1750</v>
      </c>
      <c r="D151" s="213"/>
      <c r="E151" s="166" t="s">
        <v>2323</v>
      </c>
      <c r="F151" s="166" t="s">
        <v>1751</v>
      </c>
      <c r="G151" s="166" t="s">
        <v>12764</v>
      </c>
      <c r="H151" s="167">
        <v>0</v>
      </c>
      <c r="I151" s="168" t="s">
        <v>1752</v>
      </c>
      <c r="J151" s="168" t="s">
        <v>1560</v>
      </c>
      <c r="K151" s="207"/>
      <c r="L151" s="207"/>
      <c r="M151" s="207"/>
      <c r="N151" s="207"/>
      <c r="O151" s="207"/>
      <c r="P151" s="169"/>
      <c r="Q151" s="208"/>
      <c r="R151" s="166" t="str">
        <f ca="1">IF(ISERROR($V151),"",OFFSET('Smelter Look-up'!$C$4,$V151-4,0)&amp;"")</f>
        <v>Niagara Refining LLC</v>
      </c>
      <c r="S151" s="165" t="str">
        <f t="shared" ca="1" si="20"/>
        <v>US</v>
      </c>
      <c r="T151" s="165" t="str">
        <f ca="1">IF(B151="","",IF(ISERROR(MATCH($J151,SorP!$B$1:$B$6261,0)),"",INDIRECT("'SorP'!$A$"&amp;MATCH($S151&amp;$J151,SorP!C:C,0))))</f>
        <v>US-NY</v>
      </c>
      <c r="U151" s="185"/>
      <c r="V151" s="209">
        <f>IF(C151="",NA(),IF(OR(C151="Smelter not listed",C151="Smelter not yet identified"),MATCH($B151&amp;$D151,'Smelter Look-up'!$J:$J,0),MATCH($B151&amp;$C151,'Smelter Look-up'!$J:$J,0)))</f>
        <v>629</v>
      </c>
      <c r="X151" s="210">
        <f t="shared" si="21"/>
        <v>0</v>
      </c>
      <c r="AB151" s="211" t="str">
        <f t="shared" si="22"/>
        <v>TungstenNiagara Refining LLC</v>
      </c>
    </row>
    <row r="152" spans="1:28" s="210" customFormat="1" ht="89.25">
      <c r="A152" s="165" t="s">
        <v>13299</v>
      </c>
      <c r="B152" s="166" t="s">
        <v>1090</v>
      </c>
      <c r="C152" s="170" t="s">
        <v>14539</v>
      </c>
      <c r="D152" s="213"/>
      <c r="E152" s="166" t="s">
        <v>1058</v>
      </c>
      <c r="F152" s="166" t="s">
        <v>13299</v>
      </c>
      <c r="G152" s="166" t="s">
        <v>12764</v>
      </c>
      <c r="H152" s="167">
        <v>0</v>
      </c>
      <c r="I152" s="168" t="s">
        <v>1558</v>
      </c>
      <c r="J152" s="168" t="s">
        <v>13119</v>
      </c>
      <c r="K152" s="207"/>
      <c r="L152" s="207"/>
      <c r="M152" s="207"/>
      <c r="N152" s="207"/>
      <c r="O152" s="207"/>
      <c r="P152" s="169"/>
      <c r="Q152" s="208"/>
      <c r="R152" s="166" t="str">
        <f ca="1">IF(ISERROR($V152),"",OFFSET('Smelter Look-up'!$C$4,$V152-4,0)&amp;"")</f>
        <v>China Molybdenum Tungsten Co., Ltd.</v>
      </c>
      <c r="S152" s="165" t="str">
        <f t="shared" ca="1" si="20"/>
        <v>CN</v>
      </c>
      <c r="T152" s="165" t="str">
        <f ca="1">IF(B152="","",IF(ISERROR(MATCH($J152,SorP!$B$1:$B$6261,0)),"",INDIRECT("'SorP'!$A$"&amp;MATCH($S152&amp;$J152,SorP!C:C,0))))</f>
        <v>CN-HA</v>
      </c>
      <c r="U152" s="185"/>
      <c r="V152" s="209">
        <f>IF(C152="",NA(),IF(OR(C152="Smelter not listed",C152="Smelter not yet identified"),MATCH($B152&amp;$D152,'Smelter Look-up'!$J:$J,0),MATCH($B152&amp;$C152,'Smelter Look-up'!$J:$J,0)))</f>
        <v>586</v>
      </c>
      <c r="X152" s="210">
        <f t="shared" si="21"/>
        <v>0</v>
      </c>
      <c r="AB152" s="211" t="str">
        <f t="shared" si="22"/>
        <v>TungstenChina Molybdenum Tungsten Co., Ltd.</v>
      </c>
    </row>
    <row r="153" spans="1:28" s="210" customFormat="1" ht="102">
      <c r="A153" s="165" t="s">
        <v>15964</v>
      </c>
      <c r="B153" s="166" t="s">
        <v>1090</v>
      </c>
      <c r="C153" s="170" t="s">
        <v>15965</v>
      </c>
      <c r="D153" s="213"/>
      <c r="E153" s="166" t="s">
        <v>841</v>
      </c>
      <c r="F153" s="166" t="s">
        <v>15964</v>
      </c>
      <c r="G153" s="166">
        <v>0</v>
      </c>
      <c r="H153" s="167">
        <v>0</v>
      </c>
      <c r="I153" s="168" t="s">
        <v>15966</v>
      </c>
      <c r="J153" s="168" t="s">
        <v>2172</v>
      </c>
      <c r="K153" s="207"/>
      <c r="L153" s="207"/>
      <c r="M153" s="207"/>
      <c r="N153" s="207"/>
      <c r="O153" s="207"/>
      <c r="P153" s="169"/>
      <c r="Q153" s="208"/>
      <c r="R153" s="166" t="str">
        <f ca="1">IF(ISERROR($V153),"",OFFSET('Smelter Look-up'!$C$4,$V153-4,0)&amp;"")</f>
        <v/>
      </c>
      <c r="S153" s="165" t="str">
        <f t="shared" ca="1" si="20"/>
        <v>PH</v>
      </c>
      <c r="T153" s="165" t="str">
        <f ca="1">IF(B153="","",IF(ISERROR(MATCH($J153,SorP!$B$1:$B$6261,0)),"",INDIRECT("'SorP'!$A$"&amp;MATCH($S153&amp;$J153,SorP!C:C,0))))</f>
        <v>PH-BUL</v>
      </c>
      <c r="U153" s="185"/>
      <c r="V153" s="209" t="e">
        <f>IF(C153="",NA(),IF(OR(C153="Smelter not listed",C153="Smelter not yet identified"),MATCH($B153&amp;$D153,'Smelter Look-up'!$J:$J,0),MATCH($B153&amp;$C153,'Smelter Look-up'!$J:$J,0)))</f>
        <v>#N/A</v>
      </c>
      <c r="X153" s="210">
        <f t="shared" si="21"/>
        <v>0</v>
      </c>
      <c r="AB153" s="211" t="str">
        <f t="shared" si="22"/>
        <v>TungstenPhilippine Chuangxin Industrial Co., Inc.</v>
      </c>
    </row>
    <row r="154" spans="1:28" s="210" customFormat="1" ht="63.75">
      <c r="A154" s="165" t="s">
        <v>13304</v>
      </c>
      <c r="B154" s="166" t="s">
        <v>1090</v>
      </c>
      <c r="C154" s="170" t="s">
        <v>13303</v>
      </c>
      <c r="D154" s="213"/>
      <c r="E154" s="166" t="s">
        <v>2322</v>
      </c>
      <c r="F154" s="166" t="s">
        <v>13304</v>
      </c>
      <c r="G154" s="166" t="s">
        <v>12764</v>
      </c>
      <c r="H154" s="167">
        <v>0</v>
      </c>
      <c r="I154" s="168" t="s">
        <v>13314</v>
      </c>
      <c r="J154" s="168" t="s">
        <v>11044</v>
      </c>
      <c r="K154" s="207"/>
      <c r="L154" s="207"/>
      <c r="M154" s="207"/>
      <c r="N154" s="207"/>
      <c r="O154" s="207"/>
      <c r="P154" s="169"/>
      <c r="Q154" s="208"/>
      <c r="R154" s="166" t="str">
        <f ca="1">IF(ISERROR($V154),"",OFFSET('Smelter Look-up'!$C$4,$V154-4,0)&amp;"")</f>
        <v>Lianyou Metals Co., Ltd.</v>
      </c>
      <c r="S154" s="165" t="str">
        <f t="shared" ca="1" si="20"/>
        <v>TW</v>
      </c>
      <c r="T154" s="165" t="str">
        <f ca="1">IF(B154="","",IF(ISERROR(MATCH($J154,SorP!$B$1:$B$6261,0)),"",INDIRECT("'SorP'!$A$"&amp;MATCH($S154&amp;$J154,SorP!C:C,0))))</f>
        <v>TW-PIF</v>
      </c>
      <c r="U154" s="185"/>
      <c r="V154" s="209">
        <f>IF(C154="",NA(),IF(OR(C154="Smelter not listed",C154="Smelter not yet identified"),MATCH($B154&amp;$D154,'Smelter Look-up'!$J:$J,0),MATCH($B154&amp;$C154,'Smelter Look-up'!$J:$J,0)))</f>
        <v>621</v>
      </c>
      <c r="X154" s="210">
        <f t="shared" si="21"/>
        <v>0</v>
      </c>
      <c r="AB154" s="211" t="str">
        <f t="shared" si="22"/>
        <v>TungstenLianyou Metals Co., Ltd.</v>
      </c>
    </row>
    <row r="155" spans="1:28" s="210" customFormat="1" ht="76.5">
      <c r="A155" s="165" t="s">
        <v>13353</v>
      </c>
      <c r="B155" s="166" t="s">
        <v>1090</v>
      </c>
      <c r="C155" s="170" t="s">
        <v>14913</v>
      </c>
      <c r="D155" s="213"/>
      <c r="E155" s="166" t="s">
        <v>1058</v>
      </c>
      <c r="F155" s="166" t="s">
        <v>13353</v>
      </c>
      <c r="G155" s="166" t="s">
        <v>12764</v>
      </c>
      <c r="H155" s="167">
        <v>0</v>
      </c>
      <c r="I155" s="168" t="s">
        <v>14551</v>
      </c>
      <c r="J155" s="168" t="s">
        <v>13122</v>
      </c>
      <c r="K155" s="207"/>
      <c r="L155" s="207"/>
      <c r="M155" s="207"/>
      <c r="N155" s="207"/>
      <c r="O155" s="207"/>
      <c r="P155" s="169"/>
      <c r="Q155" s="208"/>
      <c r="R155" s="166" t="str">
        <f ca="1">IF(ISERROR($V155),"",OFFSET('Smelter Look-up'!$C$4,$V155-4,0)&amp;"")</f>
        <v>Hubei Green Tungsten Co., Ltd.</v>
      </c>
      <c r="S155" s="165" t="str">
        <f t="shared" ca="1" si="20"/>
        <v>CN</v>
      </c>
      <c r="T155" s="165" t="str">
        <f ca="1">IF(B155="","",IF(ISERROR(MATCH($J155,SorP!$B$1:$B$6261,0)),"",INDIRECT("'SorP'!$A$"&amp;MATCH($S155&amp;$J155,SorP!C:C,0))))</f>
        <v>CN-GD</v>
      </c>
      <c r="U155" s="185"/>
      <c r="V155" s="209">
        <f>IF(C155="",NA(),IF(OR(C155="Smelter not listed",C155="Smelter not yet identified"),MATCH($B155&amp;$D155,'Smelter Look-up'!$J:$J,0),MATCH($B155&amp;$C155,'Smelter Look-up'!$J:$J,0)))</f>
        <v>602</v>
      </c>
      <c r="X155" s="210">
        <f t="shared" si="21"/>
        <v>0</v>
      </c>
      <c r="AB155" s="211" t="str">
        <f t="shared" si="22"/>
        <v>TungstenHubei Green Tungsten Co., Ltd.</v>
      </c>
    </row>
    <row r="156" spans="1:28" s="210" customFormat="1" ht="51">
      <c r="A156" s="165" t="s">
        <v>13352</v>
      </c>
      <c r="B156" s="166" t="s">
        <v>1090</v>
      </c>
      <c r="C156" s="170" t="s">
        <v>13338</v>
      </c>
      <c r="D156" s="213"/>
      <c r="E156" s="166" t="s">
        <v>1054</v>
      </c>
      <c r="F156" s="166" t="s">
        <v>13352</v>
      </c>
      <c r="G156" s="166" t="s">
        <v>12764</v>
      </c>
      <c r="H156" s="167">
        <v>0</v>
      </c>
      <c r="I156" s="168" t="s">
        <v>13361</v>
      </c>
      <c r="J156" s="168" t="s">
        <v>3339</v>
      </c>
      <c r="K156" s="207"/>
      <c r="L156" s="207"/>
      <c r="M156" s="207"/>
      <c r="N156" s="207"/>
      <c r="O156" s="207"/>
      <c r="P156" s="169"/>
      <c r="Q156" s="208"/>
      <c r="R156" s="166" t="str">
        <f ca="1">IF(ISERROR($V156),"",OFFSET('Smelter Look-up'!$C$4,$V156-4,0)&amp;"")</f>
        <v>Cronimet Brasil Ltda</v>
      </c>
      <c r="S156" s="165" t="str">
        <f t="shared" ca="1" si="20"/>
        <v>BR</v>
      </c>
      <c r="T156" s="165" t="str">
        <f ca="1">IF(B156="","",IF(ISERROR(MATCH($J156,SorP!$B$1:$B$6261,0)),"",INDIRECT("'SorP'!$A$"&amp;MATCH($S156&amp;$J156,SorP!C:C,0))))</f>
        <v>BR-SC</v>
      </c>
      <c r="U156" s="185"/>
      <c r="V156" s="209">
        <f>IF(C156="",NA(),IF(OR(C156="Smelter not listed",C156="Smelter not yet identified"),MATCH($B156&amp;$D156,'Smelter Look-up'!$J:$J,0),MATCH($B156&amp;$C156,'Smelter Look-up'!$J:$J,0)))</f>
        <v>589</v>
      </c>
      <c r="X156" s="210">
        <f t="shared" si="21"/>
        <v>0</v>
      </c>
      <c r="AB156" s="211" t="str">
        <f t="shared" si="22"/>
        <v>TungstenCronimet Brasil Ltda</v>
      </c>
    </row>
    <row r="157" spans="1:28" s="210" customFormat="1" ht="102">
      <c r="A157" s="165" t="s">
        <v>14919</v>
      </c>
      <c r="B157" s="166" t="s">
        <v>1090</v>
      </c>
      <c r="C157" s="170" t="s">
        <v>14918</v>
      </c>
      <c r="D157" s="213"/>
      <c r="E157" s="166" t="s">
        <v>852</v>
      </c>
      <c r="F157" s="166" t="s">
        <v>14919</v>
      </c>
      <c r="G157" s="166">
        <v>0</v>
      </c>
      <c r="H157" s="167">
        <v>0</v>
      </c>
      <c r="I157" s="168" t="s">
        <v>14920</v>
      </c>
      <c r="J157" s="168" t="s">
        <v>11692</v>
      </c>
      <c r="K157" s="207"/>
      <c r="L157" s="207"/>
      <c r="M157" s="207"/>
      <c r="N157" s="207"/>
      <c r="O157" s="207"/>
      <c r="P157" s="169"/>
      <c r="Q157" s="208"/>
      <c r="R157" s="166" t="str">
        <f ca="1">IF(ISERROR($V157),"",OFFSET('Smelter Look-up'!$C$4,$V157-4,0)&amp;"")</f>
        <v>Tungsten Vietnam Joint Stock Company</v>
      </c>
      <c r="S157" s="165" t="str">
        <f t="shared" ca="1" si="20"/>
        <v>VN</v>
      </c>
      <c r="T157" s="165" t="str">
        <f ca="1">IF(B157="","",IF(ISERROR(MATCH($J157,SorP!$B$1:$B$6261,0)),"",INDIRECT("'SorP'!$A$"&amp;MATCH($S157&amp;$J157,SorP!C:C,0))))</f>
        <v>VN-69</v>
      </c>
      <c r="U157" s="185"/>
      <c r="V157" s="209">
        <f>IF(C157="",NA(),IF(OR(C157="Smelter not listed",C157="Smelter not yet identified"),MATCH($B157&amp;$D157,'Smelter Look-up'!$J:$J,0),MATCH($B157&amp;$C157,'Smelter Look-up'!$J:$J,0)))</f>
        <v>640</v>
      </c>
      <c r="X157" s="210">
        <f t="shared" si="21"/>
        <v>0</v>
      </c>
      <c r="AB157" s="211" t="str">
        <f t="shared" si="22"/>
        <v>TungstenTungsten Vietnam Joint Stock Company</v>
      </c>
    </row>
    <row r="158" spans="1:28" s="210" customFormat="1" ht="102">
      <c r="A158" s="165" t="s">
        <v>2175</v>
      </c>
      <c r="B158" s="166" t="s">
        <v>1088</v>
      </c>
      <c r="C158" s="170" t="s">
        <v>2228</v>
      </c>
      <c r="D158" s="213"/>
      <c r="E158" s="166" t="s">
        <v>1058</v>
      </c>
      <c r="F158" s="166" t="s">
        <v>2175</v>
      </c>
      <c r="G158" s="166" t="s">
        <v>12764</v>
      </c>
      <c r="H158" s="167"/>
      <c r="I158" s="168" t="s">
        <v>1693</v>
      </c>
      <c r="J158" s="168" t="s">
        <v>13121</v>
      </c>
      <c r="K158" s="207"/>
      <c r="L158" s="207"/>
      <c r="M158" s="207"/>
      <c r="N158" s="207"/>
      <c r="O158" s="207"/>
      <c r="P158" s="169"/>
      <c r="Q158" s="208"/>
      <c r="R158" s="166" t="str">
        <f ca="1">IF(ISERROR($V158),"",OFFSET('Smelter Look-up'!$C$4,$V158-4,0)&amp;"")</f>
        <v>Chenzhou Yunxiang Mining and Metallurgy Co., Ltd.</v>
      </c>
      <c r="S158" s="165" t="str">
        <f t="shared" ca="1" si="20"/>
        <v>CN</v>
      </c>
      <c r="T158" s="165" t="str">
        <f ca="1">IF(B158="","",IF(ISERROR(MATCH($J158,SorP!$B$1:$B$6261,0)),"",INDIRECT("'SorP'!$A$"&amp;MATCH($S158&amp;$J158,SorP!C:C,0))))</f>
        <v>CN-HN</v>
      </c>
      <c r="U158" s="185"/>
      <c r="V158" s="209">
        <f>IF(C158="",NA(),IF(OR(C158="Smelter not listed",C158="Smelter not yet identified"),MATCH($B158&amp;$D158,'Smelter Look-up'!$J:$J,0),MATCH($B158&amp;$C158,'Smelter Look-up'!$J:$J,0)))</f>
        <v>428</v>
      </c>
      <c r="X158" s="210">
        <f t="shared" si="21"/>
        <v>0</v>
      </c>
      <c r="AB158" s="211" t="str">
        <f t="shared" si="22"/>
        <v>TinChenzhou Yunxiang Mining and Metallurgy Co., Ltd.</v>
      </c>
    </row>
    <row r="159" spans="1:28" s="210" customFormat="1" ht="63.75">
      <c r="A159" s="165" t="s">
        <v>735</v>
      </c>
      <c r="B159" s="166" t="s">
        <v>1088</v>
      </c>
      <c r="C159" s="170" t="s">
        <v>15235</v>
      </c>
      <c r="D159" s="213"/>
      <c r="E159" s="166" t="s">
        <v>2323</v>
      </c>
      <c r="F159" s="166" t="s">
        <v>735</v>
      </c>
      <c r="G159" s="166" t="s">
        <v>12764</v>
      </c>
      <c r="H159" s="167"/>
      <c r="I159" s="168" t="s">
        <v>1679</v>
      </c>
      <c r="J159" s="168" t="s">
        <v>1660</v>
      </c>
      <c r="K159" s="207"/>
      <c r="L159" s="207"/>
      <c r="M159" s="207"/>
      <c r="N159" s="207"/>
      <c r="O159" s="207"/>
      <c r="P159" s="169"/>
      <c r="Q159" s="208"/>
      <c r="R159" s="166" t="str">
        <f ca="1">IF(ISERROR($V159),"",OFFSET('Smelter Look-up'!$C$4,$V159-4,0)&amp;"")</f>
        <v>Alpha Assembly Solutions Inc</v>
      </c>
      <c r="S159" s="165" t="str">
        <f t="shared" ca="1" si="20"/>
        <v>US</v>
      </c>
      <c r="T159" s="165" t="str">
        <f ca="1">IF(B159="","",IF(ISERROR(MATCH($J159,SorP!$B$1:$B$6261,0)),"",INDIRECT("'SorP'!$A$"&amp;MATCH($S159&amp;$J159,SorP!C:C,0))))</f>
        <v>US-PA</v>
      </c>
      <c r="U159" s="185"/>
      <c r="V159" s="209">
        <f>IF(C159="",NA(),IF(OR(C159="Smelter not listed",C159="Smelter not yet identified"),MATCH($B159&amp;$D159,'Smelter Look-up'!$J:$J,0),MATCH($B159&amp;$C159,'Smelter Look-up'!$J:$J,0)))</f>
        <v>418</v>
      </c>
      <c r="X159" s="210">
        <f t="shared" si="21"/>
        <v>0</v>
      </c>
      <c r="AB159" s="211" t="str">
        <f t="shared" si="22"/>
        <v>TinAlpha Assembly Solutions Inc</v>
      </c>
    </row>
    <row r="160" spans="1:28" s="210" customFormat="1" ht="63.75">
      <c r="A160" s="165" t="s">
        <v>14902</v>
      </c>
      <c r="B160" s="166" t="s">
        <v>1088</v>
      </c>
      <c r="C160" s="170" t="s">
        <v>14901</v>
      </c>
      <c r="D160" s="213"/>
      <c r="E160" s="166" t="s">
        <v>1063</v>
      </c>
      <c r="F160" s="166" t="s">
        <v>14902</v>
      </c>
      <c r="G160" s="166" t="s">
        <v>12764</v>
      </c>
      <c r="H160" s="167"/>
      <c r="I160" s="168" t="s">
        <v>14908</v>
      </c>
      <c r="J160" s="168" t="s">
        <v>12398</v>
      </c>
      <c r="K160" s="207"/>
      <c r="L160" s="207"/>
      <c r="M160" s="207"/>
      <c r="N160" s="207"/>
      <c r="O160" s="207"/>
      <c r="P160" s="169"/>
      <c r="Q160" s="208"/>
      <c r="R160" s="166" t="str">
        <f ca="1">IF(ISERROR($V160),"",OFFSET('Smelter Look-up'!$C$4,$V160-4,0)&amp;"")</f>
        <v>PT Premium Tin Indonesia</v>
      </c>
      <c r="S160" s="165" t="str">
        <f t="shared" ca="1" si="20"/>
        <v>ID</v>
      </c>
      <c r="T160" s="165" t="str">
        <f ca="1">IF(B160="","",IF(ISERROR(MATCH($J160,SorP!$B$1:$B$6261,0)),"",INDIRECT("'SorP'!$A$"&amp;MATCH($S160&amp;$J160,SorP!C:C,0))))</f>
        <v>ID-BB</v>
      </c>
      <c r="U160" s="185"/>
      <c r="V160" s="209">
        <f>IF(C160="",NA(),IF(OR(C160="Smelter not listed",C160="Smelter not yet identified"),MATCH($B160&amp;$D160,'Smelter Look-up'!$J:$J,0),MATCH($B160&amp;$C160,'Smelter Look-up'!$J:$J,0)))</f>
        <v>526</v>
      </c>
      <c r="X160" s="210">
        <f t="shared" si="21"/>
        <v>0</v>
      </c>
      <c r="AB160" s="211" t="str">
        <f t="shared" si="22"/>
        <v>TinPT Premium Tin Indonesia</v>
      </c>
    </row>
    <row r="161" spans="1:28" s="210" customFormat="1" ht="25.5">
      <c r="A161" s="165" t="s">
        <v>1362</v>
      </c>
      <c r="B161" s="166" t="s">
        <v>1088</v>
      </c>
      <c r="C161" s="170" t="s">
        <v>866</v>
      </c>
      <c r="D161" s="213" t="s">
        <v>866</v>
      </c>
      <c r="E161" s="166" t="s">
        <v>1066</v>
      </c>
      <c r="F161" s="166" t="s">
        <v>1362</v>
      </c>
      <c r="G161" s="166" t="s">
        <v>12764</v>
      </c>
      <c r="H161" s="167" t="s">
        <v>15967</v>
      </c>
      <c r="I161" s="168" t="s">
        <v>1526</v>
      </c>
      <c r="J161" s="168" t="s">
        <v>1527</v>
      </c>
      <c r="K161" s="207"/>
      <c r="L161" s="207"/>
      <c r="M161" s="207" t="s">
        <v>15934</v>
      </c>
      <c r="N161" s="207"/>
      <c r="O161" s="207"/>
      <c r="P161" s="169"/>
      <c r="Q161" s="208"/>
      <c r="R161" s="166" t="str">
        <f ca="1">IF(ISERROR($V161),"",OFFSET('Smelter Look-up'!$C$4,$V161-4,0)&amp;"")</f>
        <v>Dowa</v>
      </c>
      <c r="S161" s="165" t="str">
        <f t="shared" ca="1" si="20"/>
        <v>JP</v>
      </c>
      <c r="T161" s="165" t="str">
        <f ca="1">IF(B161="","",IF(ISERROR(MATCH($J161,SorP!$B$1:$B$6261,0)),"",INDIRECT("'SorP'!$A$"&amp;MATCH($S161&amp;$J161,SorP!C:C,0))))</f>
        <v>JP-05</v>
      </c>
      <c r="U161" s="185"/>
      <c r="V161" s="209">
        <f>IF(C161="",NA(),IF(OR(C161="Smelter not listed",C161="Smelter not yet identified"),MATCH($B161&amp;$D161,'Smelter Look-up'!$J:$J,0),MATCH($B161&amp;$C161,'Smelter Look-up'!$J:$J,0)))</f>
        <v>450</v>
      </c>
      <c r="X161" s="210">
        <f t="shared" si="21"/>
        <v>0</v>
      </c>
      <c r="AB161" s="211" t="str">
        <f t="shared" si="22"/>
        <v>TinDowa</v>
      </c>
    </row>
    <row r="162" spans="1:28" s="210" customFormat="1" ht="63.75">
      <c r="A162" s="165" t="s">
        <v>736</v>
      </c>
      <c r="B162" s="166" t="s">
        <v>1088</v>
      </c>
      <c r="C162" s="170" t="s">
        <v>803</v>
      </c>
      <c r="D162" s="213" t="s">
        <v>803</v>
      </c>
      <c r="E162" s="166" t="s">
        <v>2321</v>
      </c>
      <c r="F162" s="166" t="s">
        <v>736</v>
      </c>
      <c r="G162" s="166" t="s">
        <v>12764</v>
      </c>
      <c r="H162" s="167" t="s">
        <v>15968</v>
      </c>
      <c r="I162" s="168" t="s">
        <v>1688</v>
      </c>
      <c r="J162" s="168" t="s">
        <v>1688</v>
      </c>
      <c r="K162" s="207" t="s">
        <v>15969</v>
      </c>
      <c r="L162" s="207" t="s">
        <v>15970</v>
      </c>
      <c r="M162" s="207" t="s">
        <v>15934</v>
      </c>
      <c r="N162" s="207" t="s">
        <v>15971</v>
      </c>
      <c r="O162" s="207" t="s">
        <v>15972</v>
      </c>
      <c r="P162" s="169" t="s">
        <v>474</v>
      </c>
      <c r="Q162" s="208"/>
      <c r="R162" s="166" t="str">
        <f ca="1">IF(ISERROR($V162),"",OFFSET('Smelter Look-up'!$C$4,$V162-4,0)&amp;"")</f>
        <v>EM Vinto</v>
      </c>
      <c r="S162" s="165" t="str">
        <f t="shared" ca="1" si="20"/>
        <v>Unknown</v>
      </c>
      <c r="T162" s="165" t="e">
        <f ca="1">IF(B162="","",IF(ISERROR(MATCH($J162,SorP!$B$1:$B$6261,0)),"",INDIRECT("'SorP'!$A$"&amp;MATCH($S162&amp;$J162,SorP!C:C,0))))</f>
        <v>#N/A</v>
      </c>
      <c r="U162" s="185"/>
      <c r="V162" s="209">
        <f>IF(C162="",NA(),IF(OR(C162="Smelter not listed",C162="Smelter not yet identified"),MATCH($B162&amp;$D162,'Smelter Look-up'!$J:$J,0),MATCH($B162&amp;$C162,'Smelter Look-up'!$J:$J,0)))</f>
        <v>453</v>
      </c>
      <c r="X162" s="210">
        <f t="shared" si="21"/>
        <v>0</v>
      </c>
      <c r="AB162" s="211" t="str">
        <f t="shared" si="22"/>
        <v>TinEM Vinto</v>
      </c>
    </row>
    <row r="163" spans="1:28" s="210" customFormat="1" ht="25.5">
      <c r="A163" s="165" t="s">
        <v>738</v>
      </c>
      <c r="B163" s="166" t="s">
        <v>1088</v>
      </c>
      <c r="C163" s="170" t="s">
        <v>778</v>
      </c>
      <c r="D163" s="213" t="s">
        <v>778</v>
      </c>
      <c r="E163" s="166" t="s">
        <v>842</v>
      </c>
      <c r="F163" s="166" t="s">
        <v>738</v>
      </c>
      <c r="G163" s="166" t="s">
        <v>12764</v>
      </c>
      <c r="H163" s="167" t="s">
        <v>15973</v>
      </c>
      <c r="I163" s="168" t="s">
        <v>1690</v>
      </c>
      <c r="J163" s="168" t="s">
        <v>9079</v>
      </c>
      <c r="K163" s="207"/>
      <c r="L163" s="207"/>
      <c r="M163" s="207" t="s">
        <v>15934</v>
      </c>
      <c r="N163" s="207" t="s">
        <v>15974</v>
      </c>
      <c r="O163" s="207" t="s">
        <v>15975</v>
      </c>
      <c r="P163" s="169" t="s">
        <v>474</v>
      </c>
      <c r="Q163" s="208"/>
      <c r="R163" s="166" t="str">
        <f ca="1">IF(ISERROR($V163),"",OFFSET('Smelter Look-up'!$C$4,$V163-4,0)&amp;"")</f>
        <v>Fenix Metals</v>
      </c>
      <c r="S163" s="165" t="str">
        <f t="shared" ca="1" si="20"/>
        <v>PL</v>
      </c>
      <c r="T163" s="165" t="str">
        <f ca="1">IF(B163="","",IF(ISERROR(MATCH($J163,SorP!$B$1:$B$6261,0)),"",INDIRECT("'SorP'!$A$"&amp;MATCH($S163&amp;$J163,SorP!C:C,0))))</f>
        <v>PL-18</v>
      </c>
      <c r="U163" s="185"/>
      <c r="V163" s="209">
        <f>IF(C163="",NA(),IF(OR(C163="Smelter not listed",C163="Smelter not yet identified"),MATCH($B163&amp;$D163,'Smelter Look-up'!$J:$J,0),MATCH($B163&amp;$C163,'Smelter Look-up'!$J:$J,0)))</f>
        <v>462</v>
      </c>
      <c r="X163" s="210">
        <f t="shared" si="21"/>
        <v>0</v>
      </c>
      <c r="AB163" s="211" t="str">
        <f t="shared" si="22"/>
        <v>TinFenix Metals</v>
      </c>
    </row>
    <row r="164" spans="1:28" s="210" customFormat="1" ht="63.75">
      <c r="A164" s="165" t="s">
        <v>742</v>
      </c>
      <c r="B164" s="166" t="s">
        <v>1088</v>
      </c>
      <c r="C164" s="170" t="s">
        <v>1281</v>
      </c>
      <c r="D164" s="213" t="s">
        <v>1281</v>
      </c>
      <c r="E164" s="166" t="s">
        <v>1058</v>
      </c>
      <c r="F164" s="166" t="s">
        <v>742</v>
      </c>
      <c r="G164" s="166" t="s">
        <v>12764</v>
      </c>
      <c r="H164" s="167" t="s">
        <v>15976</v>
      </c>
      <c r="I164" s="168" t="s">
        <v>1694</v>
      </c>
      <c r="J164" s="168" t="s">
        <v>13101</v>
      </c>
      <c r="K164" s="207"/>
      <c r="L164" s="207"/>
      <c r="M164" s="207" t="s">
        <v>15934</v>
      </c>
      <c r="N164" s="207"/>
      <c r="O164" s="207"/>
      <c r="P164" s="169"/>
      <c r="Q164" s="208"/>
      <c r="R164" s="166" t="str">
        <f ca="1">IF(ISERROR($V164),"",OFFSET('Smelter Look-up'!$C$4,$V164-4,0)&amp;"")</f>
        <v>China Tin Group Co., Ltd.</v>
      </c>
      <c r="S164" s="165" t="str">
        <f t="shared" ca="1" si="20"/>
        <v>CN</v>
      </c>
      <c r="T164" s="165" t="str">
        <f ca="1">IF(B164="","",IF(ISERROR(MATCH($J164,SorP!$B$1:$B$6261,0)),"",INDIRECT("'SorP'!$A$"&amp;MATCH($S164&amp;$J164,SorP!C:C,0))))</f>
        <v>CN-GX</v>
      </c>
      <c r="U164" s="185"/>
      <c r="V164" s="209">
        <f>IF(C164="",NA(),IF(OR(C164="Smelter not listed",C164="Smelter not yet identified"),MATCH($B164&amp;$D164,'Smelter Look-up'!$J:$J,0),MATCH($B164&amp;$C164,'Smelter Look-up'!$J:$J,0)))</f>
        <v>431</v>
      </c>
      <c r="X164" s="210">
        <f t="shared" si="21"/>
        <v>0</v>
      </c>
      <c r="AB164" s="211" t="str">
        <f t="shared" si="22"/>
        <v>TinChina Tin Group Co., Ltd.</v>
      </c>
    </row>
    <row r="165" spans="1:28" s="210" customFormat="1" ht="76.5">
      <c r="A165" s="165" t="s">
        <v>15977</v>
      </c>
      <c r="B165" s="166" t="s">
        <v>1088</v>
      </c>
      <c r="C165" s="170" t="s">
        <v>15978</v>
      </c>
      <c r="D165" s="213"/>
      <c r="E165" s="166" t="s">
        <v>1073</v>
      </c>
      <c r="F165" s="166" t="s">
        <v>15977</v>
      </c>
      <c r="G165" s="166" t="s">
        <v>12764</v>
      </c>
      <c r="H165" s="167"/>
      <c r="I165" s="168" t="s">
        <v>15979</v>
      </c>
      <c r="J165" s="168" t="s">
        <v>8321</v>
      </c>
      <c r="K165" s="207"/>
      <c r="L165" s="207"/>
      <c r="M165" s="207"/>
      <c r="N165" s="207"/>
      <c r="O165" s="207"/>
      <c r="P165" s="169"/>
      <c r="Q165" s="208"/>
      <c r="R165" s="166" t="str">
        <f ca="1">IF(ISERROR($V165),"",OFFSET('Smelter Look-up'!$C$4,$V165-4,0)&amp;"")</f>
        <v/>
      </c>
      <c r="S165" s="165" t="str">
        <f t="shared" ca="1" si="20"/>
        <v>MY</v>
      </c>
      <c r="T165" s="165" t="str">
        <f ca="1">IF(B165="","",IF(ISERROR(MATCH($J165,SorP!$B$1:$B$6261,0)),"",INDIRECT("'SorP'!$A$"&amp;MATCH($S165&amp;$J165,SorP!C:C,0))))</f>
        <v>MY-07</v>
      </c>
      <c r="U165" s="185"/>
      <c r="V165" s="209" t="e">
        <f>IF(C165="",NA(),IF(OR(C165="Smelter not listed",C165="Smelter not yet identified"),MATCH($B165&amp;$D165,'Smelter Look-up'!$J:$J,0),MATCH($B165&amp;$C165,'Smelter Look-up'!$J:$J,0)))</f>
        <v>#N/A</v>
      </c>
      <c r="X165" s="210">
        <f t="shared" si="21"/>
        <v>0</v>
      </c>
      <c r="AB165" s="211" t="str">
        <f t="shared" si="22"/>
        <v>TinMalaysia Smelting Corporation (MSC)</v>
      </c>
    </row>
    <row r="166" spans="1:28" s="210" customFormat="1" ht="51">
      <c r="A166" s="165" t="s">
        <v>1699</v>
      </c>
      <c r="B166" s="166" t="s">
        <v>1088</v>
      </c>
      <c r="C166" s="170" t="s">
        <v>2057</v>
      </c>
      <c r="D166" s="213" t="s">
        <v>2057</v>
      </c>
      <c r="E166" s="166" t="s">
        <v>2323</v>
      </c>
      <c r="F166" s="166" t="s">
        <v>1699</v>
      </c>
      <c r="G166" s="166" t="s">
        <v>12764</v>
      </c>
      <c r="H166" s="167" t="s">
        <v>15980</v>
      </c>
      <c r="I166" s="168" t="s">
        <v>1700</v>
      </c>
      <c r="J166" s="168" t="s">
        <v>1575</v>
      </c>
      <c r="K166" s="207" t="s">
        <v>15981</v>
      </c>
      <c r="L166" s="207" t="s">
        <v>15982</v>
      </c>
      <c r="M166" s="207" t="s">
        <v>15934</v>
      </c>
      <c r="N166" s="207" t="s">
        <v>15935</v>
      </c>
      <c r="O166" s="207" t="s">
        <v>15936</v>
      </c>
      <c r="P166" s="169" t="s">
        <v>474</v>
      </c>
      <c r="Q166" s="208"/>
      <c r="R166" s="166" t="str">
        <f ca="1">IF(ISERROR($V166),"",OFFSET('Smelter Look-up'!$C$4,$V166-4,0)&amp;"")</f>
        <v>Metallic Resources, Inc.</v>
      </c>
      <c r="S166" s="165" t="str">
        <f t="shared" ref="S166:S196" ca="1" si="23">IF(B166="","",IF(ISERROR(MATCH($E166,CL,0)),"Unknown",INDIRECT("'C'!$A$"&amp;MATCH($E166,CL,0)+1)))</f>
        <v>US</v>
      </c>
      <c r="T166" s="165" t="str">
        <f ca="1">IF(B166="","",IF(ISERROR(MATCH($J166,SorP!$B$1:$B$6261,0)),"",INDIRECT("'SorP'!$A$"&amp;MATCH($S166&amp;$J166,SorP!C:C,0))))</f>
        <v>US-OH</v>
      </c>
      <c r="U166" s="185"/>
      <c r="V166" s="209">
        <f>IF(C166="",NA(),IF(OR(C166="Smelter not listed",C166="Smelter not yet identified"),MATCH($B166&amp;$D166,'Smelter Look-up'!$J:$J,0),MATCH($B166&amp;$C166,'Smelter Look-up'!$J:$J,0)))</f>
        <v>495</v>
      </c>
      <c r="X166" s="210">
        <f t="shared" ref="X166:X196" si="24">IF(AND(C166="Smelter not listed",OR(LEN(D166)=0,LEN(E166)=0)),1,0)</f>
        <v>0</v>
      </c>
      <c r="AB166" s="211" t="str">
        <f t="shared" ref="AB166:AB196" si="25">B166&amp;C166</f>
        <v>TinMetallic Resources, Inc.</v>
      </c>
    </row>
    <row r="167" spans="1:28" s="210" customFormat="1" ht="51">
      <c r="A167" s="165" t="s">
        <v>743</v>
      </c>
      <c r="B167" s="166" t="s">
        <v>1088</v>
      </c>
      <c r="C167" s="170" t="s">
        <v>11981</v>
      </c>
      <c r="D167" s="213" t="s">
        <v>11981</v>
      </c>
      <c r="E167" s="166" t="s">
        <v>1054</v>
      </c>
      <c r="F167" s="166" t="s">
        <v>743</v>
      </c>
      <c r="G167" s="166" t="s">
        <v>12764</v>
      </c>
      <c r="H167" s="167" t="s">
        <v>15983</v>
      </c>
      <c r="I167" s="168" t="s">
        <v>15243</v>
      </c>
      <c r="J167" s="168" t="s">
        <v>1610</v>
      </c>
      <c r="K167" s="207" t="s">
        <v>15984</v>
      </c>
      <c r="L167" s="207" t="s">
        <v>15985</v>
      </c>
      <c r="M167" s="207" t="s">
        <v>15934</v>
      </c>
      <c r="N167" s="207" t="s">
        <v>15986</v>
      </c>
      <c r="O167" s="207" t="s">
        <v>15987</v>
      </c>
      <c r="P167" s="169" t="s">
        <v>474</v>
      </c>
      <c r="Q167" s="208"/>
      <c r="R167" s="166" t="str">
        <f ca="1">IF(ISERROR($V167),"",OFFSET('Smelter Look-up'!$C$4,$V167-4,0)&amp;"")</f>
        <v>Mineracao Taboca S.A.</v>
      </c>
      <c r="S167" s="165" t="str">
        <f t="shared" ca="1" si="23"/>
        <v>BR</v>
      </c>
      <c r="T167" s="165" t="str">
        <f ca="1">IF(B167="","",IF(ISERROR(MATCH($J167,SorP!$B$1:$B$6261,0)),"",INDIRECT("'SorP'!$A$"&amp;MATCH($S167&amp;$J167,SorP!C:C,0))))</f>
        <v>BR-SP</v>
      </c>
      <c r="U167" s="185"/>
      <c r="V167" s="209">
        <f>IF(C167="",NA(),IF(OR(C167="Smelter not listed",C167="Smelter not yet identified"),MATCH($B167&amp;$D167,'Smelter Look-up'!$J:$J,0),MATCH($B167&amp;$C167,'Smelter Look-up'!$J:$J,0)))</f>
        <v>498</v>
      </c>
      <c r="X167" s="210">
        <f t="shared" si="24"/>
        <v>0</v>
      </c>
      <c r="AB167" s="211" t="str">
        <f t="shared" si="25"/>
        <v>TinMineracao Taboca S.A.</v>
      </c>
    </row>
    <row r="168" spans="1:28" s="210" customFormat="1" ht="25.5">
      <c r="A168" s="165" t="s">
        <v>744</v>
      </c>
      <c r="B168" s="166" t="s">
        <v>1088</v>
      </c>
      <c r="C168" s="170" t="s">
        <v>992</v>
      </c>
      <c r="D168" s="213" t="s">
        <v>992</v>
      </c>
      <c r="E168" s="166" t="s">
        <v>840</v>
      </c>
      <c r="F168" s="166" t="s">
        <v>744</v>
      </c>
      <c r="G168" s="166" t="s">
        <v>12764</v>
      </c>
      <c r="H168" s="167" t="s">
        <v>15988</v>
      </c>
      <c r="I168" s="168" t="s">
        <v>1702</v>
      </c>
      <c r="J168" s="168" t="s">
        <v>8699</v>
      </c>
      <c r="K168" s="207" t="s">
        <v>15989</v>
      </c>
      <c r="L168" s="207" t="s">
        <v>15990</v>
      </c>
      <c r="M168" s="207" t="s">
        <v>15934</v>
      </c>
      <c r="N168" s="207" t="s">
        <v>15991</v>
      </c>
      <c r="O168" s="207" t="s">
        <v>15992</v>
      </c>
      <c r="P168" s="169" t="s">
        <v>474</v>
      </c>
      <c r="Q168" s="208"/>
      <c r="R168" s="166" t="str">
        <f ca="1">IF(ISERROR($V168),"",OFFSET('Smelter Look-up'!$C$4,$V168-4,0)&amp;"")</f>
        <v>Minsur</v>
      </c>
      <c r="S168" s="165" t="str">
        <f t="shared" ca="1" si="23"/>
        <v>PE</v>
      </c>
      <c r="T168" s="165" t="str">
        <f ca="1">IF(B168="","",IF(ISERROR(MATCH($J168,SorP!$B$1:$B$6261,0)),"",INDIRECT("'SorP'!$A$"&amp;MATCH($S168&amp;$J168,SorP!C:C,0))))</f>
        <v>PE-ICA</v>
      </c>
      <c r="U168" s="185"/>
      <c r="V168" s="209">
        <f>IF(C168="",NA(),IF(OR(C168="Smelter not listed",C168="Smelter not yet identified"),MATCH($B168&amp;$D168,'Smelter Look-up'!$J:$J,0),MATCH($B168&amp;$C168,'Smelter Look-up'!$J:$J,0)))</f>
        <v>503</v>
      </c>
      <c r="X168" s="210">
        <f t="shared" si="24"/>
        <v>0</v>
      </c>
      <c r="AB168" s="211" t="str">
        <f t="shared" si="25"/>
        <v>TinMinsur</v>
      </c>
    </row>
    <row r="169" spans="1:28" s="210" customFormat="1" ht="76.5">
      <c r="A169" s="165" t="s">
        <v>745</v>
      </c>
      <c r="B169" s="166" t="s">
        <v>1088</v>
      </c>
      <c r="C169" s="170" t="s">
        <v>1120</v>
      </c>
      <c r="D169" s="213"/>
      <c r="E169" s="166" t="s">
        <v>1066</v>
      </c>
      <c r="F169" s="166" t="s">
        <v>745</v>
      </c>
      <c r="G169" s="166" t="s">
        <v>12764</v>
      </c>
      <c r="H169" s="167"/>
      <c r="I169" s="168" t="s">
        <v>15195</v>
      </c>
      <c r="J169" s="168" t="s">
        <v>6497</v>
      </c>
      <c r="K169" s="207"/>
      <c r="L169" s="207"/>
      <c r="M169" s="207"/>
      <c r="N169" s="207"/>
      <c r="O169" s="207"/>
      <c r="P169" s="169"/>
      <c r="Q169" s="208"/>
      <c r="R169" s="166" t="str">
        <f ca="1">IF(ISERROR($V169),"",OFFSET('Smelter Look-up'!$C$4,$V169-4,0)&amp;"")</f>
        <v>Mitsubishi Materials Corporation</v>
      </c>
      <c r="S169" s="165" t="str">
        <f t="shared" ca="1" si="23"/>
        <v>JP</v>
      </c>
      <c r="T169" s="165" t="str">
        <f ca="1">IF(B169="","",IF(ISERROR(MATCH($J169,SorP!$B$1:$B$6261,0)),"",INDIRECT("'SorP'!$A$"&amp;MATCH($S169&amp;$J169,SorP!C:C,0))))</f>
        <v>JP-28</v>
      </c>
      <c r="U169" s="185"/>
      <c r="V169" s="209">
        <f>IF(C169="",NA(),IF(OR(C169="Smelter not listed",C169="Smelter not yet identified"),MATCH($B169&amp;$D169,'Smelter Look-up'!$J:$J,0),MATCH($B169&amp;$C169,'Smelter Look-up'!$J:$J,0)))</f>
        <v>504</v>
      </c>
      <c r="X169" s="210">
        <f t="shared" si="24"/>
        <v>0</v>
      </c>
      <c r="AB169" s="211" t="str">
        <f t="shared" si="25"/>
        <v>TinMitsubishi Materials Corporation</v>
      </c>
    </row>
    <row r="170" spans="1:28" s="210" customFormat="1" ht="63.75">
      <c r="A170" s="165" t="s">
        <v>748</v>
      </c>
      <c r="B170" s="166" t="s">
        <v>1088</v>
      </c>
      <c r="C170" s="170" t="s">
        <v>13290</v>
      </c>
      <c r="D170" s="213"/>
      <c r="E170" s="166" t="s">
        <v>2321</v>
      </c>
      <c r="F170" s="166" t="s">
        <v>748</v>
      </c>
      <c r="G170" s="166" t="s">
        <v>12764</v>
      </c>
      <c r="H170" s="167"/>
      <c r="I170" s="168" t="s">
        <v>1688</v>
      </c>
      <c r="J170" s="168" t="s">
        <v>1688</v>
      </c>
      <c r="K170" s="207"/>
      <c r="L170" s="207"/>
      <c r="M170" s="207"/>
      <c r="N170" s="207"/>
      <c r="O170" s="207"/>
      <c r="P170" s="169"/>
      <c r="Q170" s="208"/>
      <c r="R170" s="166" t="str">
        <f ca="1">IF(ISERROR($V170),"",OFFSET('Smelter Look-up'!$C$4,$V170-4,0)&amp;"")</f>
        <v>Operaciones Metalurgicas S.A.</v>
      </c>
      <c r="S170" s="165" t="str">
        <f t="shared" ca="1" si="23"/>
        <v>Unknown</v>
      </c>
      <c r="T170" s="165" t="e">
        <f ca="1">IF(B170="","",IF(ISERROR(MATCH($J170,SorP!$B$1:$B$6261,0)),"",INDIRECT("'SorP'!$A$"&amp;MATCH($S170&amp;$J170,SorP!C:C,0))))</f>
        <v>#N/A</v>
      </c>
      <c r="U170" s="185"/>
      <c r="V170" s="209">
        <f>IF(C170="",NA(),IF(OR(C170="Smelter not listed",C170="Smelter not yet identified"),MATCH($B170&amp;$D170,'Smelter Look-up'!$J:$J,0),MATCH($B170&amp;$C170,'Smelter Look-up'!$J:$J,0)))</f>
        <v>514</v>
      </c>
      <c r="X170" s="210">
        <f t="shared" si="24"/>
        <v>0</v>
      </c>
      <c r="AB170" s="211" t="str">
        <f t="shared" si="25"/>
        <v>TinOperaciones Metalurgicas S.A.</v>
      </c>
    </row>
    <row r="171" spans="1:28" s="210" customFormat="1" ht="51">
      <c r="A171" s="165" t="s">
        <v>749</v>
      </c>
      <c r="B171" s="166" t="s">
        <v>1088</v>
      </c>
      <c r="C171" s="170" t="s">
        <v>607</v>
      </c>
      <c r="D171" s="213" t="s">
        <v>607</v>
      </c>
      <c r="E171" s="166" t="s">
        <v>1063</v>
      </c>
      <c r="F171" s="166" t="s">
        <v>749</v>
      </c>
      <c r="G171" s="166" t="s">
        <v>12764</v>
      </c>
      <c r="H171" s="167" t="s">
        <v>15993</v>
      </c>
      <c r="I171" s="168" t="s">
        <v>1686</v>
      </c>
      <c r="J171" s="168" t="s">
        <v>12398</v>
      </c>
      <c r="K171" s="207" t="s">
        <v>15994</v>
      </c>
      <c r="L171" s="207" t="s">
        <v>15995</v>
      </c>
      <c r="M171" s="207" t="s">
        <v>15934</v>
      </c>
      <c r="N171" s="207" t="s">
        <v>15996</v>
      </c>
      <c r="O171" s="207" t="s">
        <v>15997</v>
      </c>
      <c r="P171" s="169" t="s">
        <v>474</v>
      </c>
      <c r="Q171" s="208"/>
      <c r="R171" s="166" t="str">
        <f ca="1">IF(ISERROR($V171),"",OFFSET('Smelter Look-up'!$C$4,$V171-4,0)&amp;"")</f>
        <v>PT Mitra Stania Prima</v>
      </c>
      <c r="S171" s="165" t="str">
        <f t="shared" ca="1" si="23"/>
        <v>ID</v>
      </c>
      <c r="T171" s="165" t="str">
        <f ca="1">IF(B171="","",IF(ISERROR(MATCH($J171,SorP!$B$1:$B$6261,0)),"",INDIRECT("'SorP'!$A$"&amp;MATCH($S171&amp;$J171,SorP!C:C,0))))</f>
        <v>ID-BB</v>
      </c>
      <c r="U171" s="185"/>
      <c r="V171" s="209">
        <f>IF(C171="",NA(),IF(OR(C171="Smelter not listed",C171="Smelter not yet identified"),MATCH($B171&amp;$D171,'Smelter Look-up'!$J:$J,0),MATCH($B171&amp;$C171,'Smelter Look-up'!$J:$J,0)))</f>
        <v>524</v>
      </c>
      <c r="X171" s="210">
        <f t="shared" si="24"/>
        <v>0</v>
      </c>
      <c r="AB171" s="211" t="str">
        <f t="shared" si="25"/>
        <v>TinPT Mitra Stania Prima</v>
      </c>
    </row>
    <row r="172" spans="1:28" s="210" customFormat="1" ht="51">
      <c r="A172" s="165" t="s">
        <v>15253</v>
      </c>
      <c r="B172" s="166" t="s">
        <v>1088</v>
      </c>
      <c r="C172" s="170" t="s">
        <v>15252</v>
      </c>
      <c r="D172" s="213"/>
      <c r="E172" s="166" t="s">
        <v>1063</v>
      </c>
      <c r="F172" s="166" t="s">
        <v>15253</v>
      </c>
      <c r="G172" s="166" t="s">
        <v>12764</v>
      </c>
      <c r="H172" s="167"/>
      <c r="I172" s="168" t="s">
        <v>14554</v>
      </c>
      <c r="J172" s="168" t="s">
        <v>12398</v>
      </c>
      <c r="K172" s="207"/>
      <c r="L172" s="207"/>
      <c r="M172" s="207"/>
      <c r="N172" s="207"/>
      <c r="O172" s="207"/>
      <c r="P172" s="169"/>
      <c r="Q172" s="208"/>
      <c r="R172" s="166" t="str">
        <f ca="1">IF(ISERROR($V172),"",OFFSET('Smelter Look-up'!$C$4,$V172-4,0)&amp;"")</f>
        <v>PT Prima Timah Utama</v>
      </c>
      <c r="S172" s="165" t="str">
        <f t="shared" ca="1" si="23"/>
        <v>ID</v>
      </c>
      <c r="T172" s="165" t="str">
        <f ca="1">IF(B172="","",IF(ISERROR(MATCH($J172,SorP!$B$1:$B$6261,0)),"",INDIRECT("'SorP'!$A$"&amp;MATCH($S172&amp;$J172,SorP!C:C,0))))</f>
        <v>ID-BB</v>
      </c>
      <c r="U172" s="185"/>
      <c r="V172" s="209">
        <f>IF(C172="",NA(),IF(OR(C172="Smelter not listed",C172="Smelter not yet identified"),MATCH($B172&amp;$D172,'Smelter Look-up'!$J:$J,0),MATCH($B172&amp;$C172,'Smelter Look-up'!$J:$J,0)))</f>
        <v>527</v>
      </c>
      <c r="X172" s="210">
        <f t="shared" si="24"/>
        <v>0</v>
      </c>
      <c r="AB172" s="211" t="str">
        <f t="shared" si="25"/>
        <v>TinPT Prima Timah Utama</v>
      </c>
    </row>
    <row r="173" spans="1:28" s="210" customFormat="1" ht="51">
      <c r="A173" s="165" t="s">
        <v>767</v>
      </c>
      <c r="B173" s="166" t="s">
        <v>1088</v>
      </c>
      <c r="C173" s="170" t="s">
        <v>13289</v>
      </c>
      <c r="D173" s="213" t="s">
        <v>13289</v>
      </c>
      <c r="E173" s="166" t="s">
        <v>1063</v>
      </c>
      <c r="F173" s="166" t="s">
        <v>767</v>
      </c>
      <c r="G173" s="166" t="s">
        <v>12764</v>
      </c>
      <c r="H173" s="167" t="s">
        <v>15998</v>
      </c>
      <c r="I173" s="168" t="s">
        <v>1708</v>
      </c>
      <c r="J173" s="168" t="s">
        <v>5897</v>
      </c>
      <c r="K173" s="207" t="s">
        <v>15999</v>
      </c>
      <c r="L173" s="207" t="s">
        <v>16000</v>
      </c>
      <c r="M173" s="207" t="s">
        <v>15934</v>
      </c>
      <c r="N173" s="207" t="s">
        <v>16001</v>
      </c>
      <c r="O173" s="207" t="s">
        <v>16002</v>
      </c>
      <c r="P173" s="169" t="s">
        <v>474</v>
      </c>
      <c r="Q173" s="208"/>
      <c r="R173" s="166" t="str">
        <f ca="1">IF(ISERROR($V173),"",OFFSET('Smelter Look-up'!$C$4,$V173-4,0)&amp;"")</f>
        <v>PT Timah Tbk Kundur</v>
      </c>
      <c r="S173" s="165" t="str">
        <f t="shared" ca="1" si="23"/>
        <v>ID</v>
      </c>
      <c r="T173" s="165" t="str">
        <f ca="1">IF(B173="","",IF(ISERROR(MATCH($J173,SorP!$B$1:$B$6261,0)),"",INDIRECT("'SorP'!$A$"&amp;MATCH($S173&amp;$J173,SorP!C:C,0))))</f>
        <v>ID-RI</v>
      </c>
      <c r="U173" s="185"/>
      <c r="V173" s="209">
        <f>IF(C173="",NA(),IF(OR(C173="Smelter not listed",C173="Smelter not yet identified"),MATCH($B173&amp;$D173,'Smelter Look-up'!$J:$J,0),MATCH($B173&amp;$C173,'Smelter Look-up'!$J:$J,0)))</f>
        <v>531</v>
      </c>
      <c r="X173" s="210">
        <f t="shared" si="24"/>
        <v>0</v>
      </c>
      <c r="AB173" s="211" t="str">
        <f t="shared" si="25"/>
        <v>TinPT Timah Tbk Kundur</v>
      </c>
    </row>
    <row r="174" spans="1:28" s="210" customFormat="1" ht="51">
      <c r="A174" s="165" t="s">
        <v>750</v>
      </c>
      <c r="B174" s="166" t="s">
        <v>1088</v>
      </c>
      <c r="C174" s="170" t="s">
        <v>13288</v>
      </c>
      <c r="D174" s="213" t="s">
        <v>13288</v>
      </c>
      <c r="E174" s="166" t="s">
        <v>1063</v>
      </c>
      <c r="F174" s="166" t="s">
        <v>750</v>
      </c>
      <c r="G174" s="166" t="s">
        <v>12764</v>
      </c>
      <c r="H174" s="167" t="s">
        <v>16003</v>
      </c>
      <c r="I174" s="168" t="s">
        <v>1710</v>
      </c>
      <c r="J174" s="168" t="s">
        <v>12398</v>
      </c>
      <c r="K174" s="207" t="s">
        <v>15999</v>
      </c>
      <c r="L174" s="207" t="s">
        <v>16000</v>
      </c>
      <c r="M174" s="207" t="s">
        <v>15934</v>
      </c>
      <c r="N174" s="207" t="s">
        <v>16004</v>
      </c>
      <c r="O174" s="207" t="s">
        <v>16002</v>
      </c>
      <c r="P174" s="169" t="s">
        <v>474</v>
      </c>
      <c r="Q174" s="208"/>
      <c r="R174" s="166" t="str">
        <f ca="1">IF(ISERROR($V174),"",OFFSET('Smelter Look-up'!$C$4,$V174-4,0)&amp;"")</f>
        <v>PT Timah Tbk Mentok</v>
      </c>
      <c r="S174" s="165" t="str">
        <f t="shared" ca="1" si="23"/>
        <v>ID</v>
      </c>
      <c r="T174" s="165" t="str">
        <f ca="1">IF(B174="","",IF(ISERROR(MATCH($J174,SorP!$B$1:$B$6261,0)),"",INDIRECT("'SorP'!$A$"&amp;MATCH($S174&amp;$J174,SorP!C:C,0))))</f>
        <v>ID-BB</v>
      </c>
      <c r="U174" s="185"/>
      <c r="V174" s="209">
        <f>IF(C174="",NA(),IF(OR(C174="Smelter not listed",C174="Smelter not yet identified"),MATCH($B174&amp;$D174,'Smelter Look-up'!$J:$J,0),MATCH($B174&amp;$C174,'Smelter Look-up'!$J:$J,0)))</f>
        <v>532</v>
      </c>
      <c r="X174" s="210">
        <f t="shared" si="24"/>
        <v>0</v>
      </c>
      <c r="AB174" s="211" t="str">
        <f t="shared" si="25"/>
        <v>TinPT Timah Tbk Mentok</v>
      </c>
    </row>
    <row r="175" spans="1:28" s="210" customFormat="1" ht="25.5">
      <c r="A175" s="165" t="s">
        <v>753</v>
      </c>
      <c r="B175" s="166" t="s">
        <v>1088</v>
      </c>
      <c r="C175" s="170" t="s">
        <v>989</v>
      </c>
      <c r="D175" s="213"/>
      <c r="E175" s="166" t="s">
        <v>848</v>
      </c>
      <c r="F175" s="166" t="s">
        <v>753</v>
      </c>
      <c r="G175" s="166" t="s">
        <v>12764</v>
      </c>
      <c r="H175" s="167"/>
      <c r="I175" s="168" t="s">
        <v>1711</v>
      </c>
      <c r="J175" s="168" t="s">
        <v>1712</v>
      </c>
      <c r="K175" s="207"/>
      <c r="L175" s="207"/>
      <c r="M175" s="207"/>
      <c r="N175" s="207"/>
      <c r="O175" s="207"/>
      <c r="P175" s="169"/>
      <c r="Q175" s="208"/>
      <c r="R175" s="166" t="str">
        <f ca="1">IF(ISERROR($V175),"",OFFSET('Smelter Look-up'!$C$4,$V175-4,0)&amp;"")</f>
        <v>Thaisarco</v>
      </c>
      <c r="S175" s="165" t="str">
        <f t="shared" ca="1" si="23"/>
        <v>TH</v>
      </c>
      <c r="T175" s="165" t="str">
        <f ca="1">IF(B175="","",IF(ISERROR(MATCH($J175,SorP!$B$1:$B$6261,0)),"",INDIRECT("'SorP'!$A$"&amp;MATCH($S175&amp;$J175,SorP!C:C,0))))</f>
        <v>TH-83</v>
      </c>
      <c r="U175" s="185"/>
      <c r="V175" s="209">
        <f>IF(C175="",NA(),IF(OR(C175="Smelter not listed",C175="Smelter not yet identified"),MATCH($B175&amp;$D175,'Smelter Look-up'!$J:$J,0),MATCH($B175&amp;$C175,'Smelter Look-up'!$J:$J,0)))</f>
        <v>543</v>
      </c>
      <c r="X175" s="210">
        <f t="shared" si="24"/>
        <v>0</v>
      </c>
      <c r="AB175" s="211" t="str">
        <f t="shared" si="25"/>
        <v>TinThaisarco</v>
      </c>
    </row>
    <row r="176" spans="1:28" s="210" customFormat="1" ht="76.5">
      <c r="A176" s="165" t="s">
        <v>754</v>
      </c>
      <c r="B176" s="166" t="s">
        <v>1088</v>
      </c>
      <c r="C176" s="170" t="s">
        <v>2422</v>
      </c>
      <c r="D176" s="213" t="s">
        <v>2422</v>
      </c>
      <c r="E176" s="166" t="s">
        <v>1054</v>
      </c>
      <c r="F176" s="166" t="s">
        <v>754</v>
      </c>
      <c r="G176" s="166" t="s">
        <v>12764</v>
      </c>
      <c r="H176" s="167" t="s">
        <v>16005</v>
      </c>
      <c r="I176" s="168" t="s">
        <v>1685</v>
      </c>
      <c r="J176" s="168" t="s">
        <v>1689</v>
      </c>
      <c r="K176" s="207" t="s">
        <v>16006</v>
      </c>
      <c r="L176" s="207" t="s">
        <v>16007</v>
      </c>
      <c r="M176" s="207" t="s">
        <v>15934</v>
      </c>
      <c r="N176" s="207" t="s">
        <v>16008</v>
      </c>
      <c r="O176" s="207" t="s">
        <v>16009</v>
      </c>
      <c r="P176" s="169" t="s">
        <v>474</v>
      </c>
      <c r="Q176" s="208"/>
      <c r="R176" s="166" t="str">
        <f ca="1">IF(ISERROR($V176),"",OFFSET('Smelter Look-up'!$C$4,$V176-4,0)&amp;"")</f>
        <v>White Solder Metalurgia e Mineracao Ltda.</v>
      </c>
      <c r="S176" s="165" t="str">
        <f t="shared" ca="1" si="23"/>
        <v>BR</v>
      </c>
      <c r="T176" s="165" t="str">
        <f ca="1">IF(B176="","",IF(ISERROR(MATCH($J176,SorP!$B$1:$B$6261,0)),"",INDIRECT("'SorP'!$A$"&amp;MATCH($S176&amp;$J176,SorP!C:C,0))))</f>
        <v>BR-RO</v>
      </c>
      <c r="U176" s="185"/>
      <c r="V176" s="209">
        <f>IF(C176="",NA(),IF(OR(C176="Smelter not listed",C176="Smelter not yet identified"),MATCH($B176&amp;$D176,'Smelter Look-up'!$J:$J,0),MATCH($B176&amp;$C176,'Smelter Look-up'!$J:$J,0)))</f>
        <v>551</v>
      </c>
      <c r="X176" s="210">
        <f t="shared" si="24"/>
        <v>0</v>
      </c>
      <c r="AB176" s="211" t="str">
        <f t="shared" si="25"/>
        <v>TinWhite Solder Metalurgia e Mineracao Ltda.</v>
      </c>
    </row>
    <row r="177" spans="1:28" s="210" customFormat="1" ht="89.25">
      <c r="A177" s="165" t="s">
        <v>756</v>
      </c>
      <c r="B177" s="166" t="s">
        <v>1088</v>
      </c>
      <c r="C177" s="170" t="s">
        <v>14867</v>
      </c>
      <c r="D177" s="213"/>
      <c r="E177" s="166" t="s">
        <v>1058</v>
      </c>
      <c r="F177" s="166" t="s">
        <v>756</v>
      </c>
      <c r="G177" s="166" t="s">
        <v>12764</v>
      </c>
      <c r="H177" s="167"/>
      <c r="I177" s="168" t="s">
        <v>2336</v>
      </c>
      <c r="J177" s="168" t="s">
        <v>13126</v>
      </c>
      <c r="K177" s="207"/>
      <c r="L177" s="207"/>
      <c r="M177" s="207"/>
      <c r="N177" s="207"/>
      <c r="O177" s="207"/>
      <c r="P177" s="169"/>
      <c r="Q177" s="208"/>
      <c r="R177" s="166" t="str">
        <f ca="1">IF(ISERROR($V177),"",OFFSET('Smelter Look-up'!$C$4,$V177-4,0)&amp;"")</f>
        <v>Tin Smelting Branch of Yunnan Tin Co., Ltd.</v>
      </c>
      <c r="S177" s="165" t="str">
        <f t="shared" ca="1" si="23"/>
        <v>CN</v>
      </c>
      <c r="T177" s="165" t="str">
        <f ca="1">IF(B177="","",IF(ISERROR(MATCH($J177,SorP!$B$1:$B$6261,0)),"",INDIRECT("'SorP'!$A$"&amp;MATCH($S177&amp;$J177,SorP!C:C,0))))</f>
        <v>CN-YN</v>
      </c>
      <c r="U177" s="185"/>
      <c r="V177" s="209">
        <f>IF(C177="",NA(),IF(OR(C177="Smelter not listed",C177="Smelter not yet identified"),MATCH($B177&amp;$D177,'Smelter Look-up'!$J:$J,0),MATCH($B177&amp;$C177,'Smelter Look-up'!$J:$J,0)))</f>
        <v>546</v>
      </c>
      <c r="X177" s="210">
        <f t="shared" si="24"/>
        <v>0</v>
      </c>
      <c r="AB177" s="211" t="str">
        <f t="shared" si="25"/>
        <v>TinTin Smelting Branch of Yunnan Tin Co., Ltd.</v>
      </c>
    </row>
    <row r="178" spans="1:28" s="210" customFormat="1" ht="76.5">
      <c r="A178" s="165" t="s">
        <v>131</v>
      </c>
      <c r="B178" s="166" t="s">
        <v>1088</v>
      </c>
      <c r="C178" s="170" t="s">
        <v>2074</v>
      </c>
      <c r="D178" s="213"/>
      <c r="E178" s="166" t="s">
        <v>1054</v>
      </c>
      <c r="F178" s="166" t="s">
        <v>131</v>
      </c>
      <c r="G178" s="166" t="s">
        <v>12764</v>
      </c>
      <c r="H178" s="167"/>
      <c r="I178" s="168" t="s">
        <v>1644</v>
      </c>
      <c r="J178" s="168" t="s">
        <v>1503</v>
      </c>
      <c r="K178" s="207"/>
      <c r="L178" s="207"/>
      <c r="M178" s="207"/>
      <c r="N178" s="207"/>
      <c r="O178" s="207"/>
      <c r="P178" s="169"/>
      <c r="Q178" s="208"/>
      <c r="R178" s="166" t="str">
        <f ca="1">IF(ISERROR($V178),"",OFFSET('Smelter Look-up'!$C$4,$V178-4,0)&amp;"")</f>
        <v>Magnu's Minerais Metais e Ligas Ltda.</v>
      </c>
      <c r="S178" s="165" t="str">
        <f t="shared" ca="1" si="23"/>
        <v>BR</v>
      </c>
      <c r="T178" s="165" t="str">
        <f ca="1">IF(B178="","",IF(ISERROR(MATCH($J178,SorP!$B$1:$B$6261,0)),"",INDIRECT("'SorP'!$A$"&amp;MATCH($S178&amp;$J178,SorP!C:C,0))))</f>
        <v>BR-MG</v>
      </c>
      <c r="U178" s="185"/>
      <c r="V178" s="209">
        <f>IF(C178="",NA(),IF(OR(C178="Smelter not listed",C178="Smelter not yet identified"),MATCH($B178&amp;$D178,'Smelter Look-up'!$J:$J,0),MATCH($B178&amp;$C178,'Smelter Look-up'!$J:$J,0)))</f>
        <v>490</v>
      </c>
      <c r="X178" s="210">
        <f t="shared" si="24"/>
        <v>0</v>
      </c>
      <c r="AB178" s="211" t="str">
        <f t="shared" si="25"/>
        <v>TinMagnu's Minerais Metais e Ligas Ltda.</v>
      </c>
    </row>
    <row r="179" spans="1:28" s="210" customFormat="1" ht="63.75">
      <c r="A179" s="165" t="s">
        <v>1356</v>
      </c>
      <c r="B179" s="166" t="s">
        <v>1088</v>
      </c>
      <c r="C179" s="170" t="s">
        <v>1355</v>
      </c>
      <c r="D179" s="213"/>
      <c r="E179" s="166" t="s">
        <v>1063</v>
      </c>
      <c r="F179" s="166" t="s">
        <v>1356</v>
      </c>
      <c r="G179" s="166" t="s">
        <v>12764</v>
      </c>
      <c r="H179" s="167"/>
      <c r="I179" s="168" t="s">
        <v>1686</v>
      </c>
      <c r="J179" s="168" t="s">
        <v>12398</v>
      </c>
      <c r="K179" s="207"/>
      <c r="L179" s="207"/>
      <c r="M179" s="207"/>
      <c r="N179" s="207"/>
      <c r="O179" s="207"/>
      <c r="P179" s="169"/>
      <c r="Q179" s="208"/>
      <c r="R179" s="166" t="str">
        <f ca="1">IF(ISERROR($V179),"",OFFSET('Smelter Look-up'!$C$4,$V179-4,0)&amp;"")</f>
        <v>PT ATD Makmur Mandiri Jaya</v>
      </c>
      <c r="S179" s="165" t="str">
        <f t="shared" ca="1" si="23"/>
        <v>ID</v>
      </c>
      <c r="T179" s="165" t="str">
        <f ca="1">IF(B179="","",IF(ISERROR(MATCH($J179,SorP!$B$1:$B$6261,0)),"",INDIRECT("'SorP'!$A$"&amp;MATCH($S179&amp;$J179,SorP!C:C,0))))</f>
        <v>ID-BB</v>
      </c>
      <c r="U179" s="185"/>
      <c r="V179" s="209">
        <f>IF(C179="",NA(),IF(OR(C179="Smelter not listed",C179="Smelter not yet identified"),MATCH($B179&amp;$D179,'Smelter Look-up'!$J:$J,0),MATCH($B179&amp;$C179,'Smelter Look-up'!$J:$J,0)))</f>
        <v>520</v>
      </c>
      <c r="X179" s="210">
        <f t="shared" si="24"/>
        <v>0</v>
      </c>
      <c r="AB179" s="211" t="str">
        <f t="shared" si="25"/>
        <v>TinPT ATD Makmur Mandiri Jaya</v>
      </c>
    </row>
    <row r="180" spans="1:28" s="210" customFormat="1" ht="38.25">
      <c r="A180" s="165" t="s">
        <v>15179</v>
      </c>
      <c r="B180" s="166" t="s">
        <v>1088</v>
      </c>
      <c r="C180" s="170" t="s">
        <v>15178</v>
      </c>
      <c r="D180" s="213"/>
      <c r="E180" s="166" t="s">
        <v>1063</v>
      </c>
      <c r="F180" s="166" t="s">
        <v>15179</v>
      </c>
      <c r="G180" s="166" t="s">
        <v>12764</v>
      </c>
      <c r="H180" s="167"/>
      <c r="I180" s="168" t="s">
        <v>14554</v>
      </c>
      <c r="J180" s="168" t="s">
        <v>12398</v>
      </c>
      <c r="K180" s="207"/>
      <c r="L180" s="207"/>
      <c r="M180" s="207"/>
      <c r="N180" s="207"/>
      <c r="O180" s="207"/>
      <c r="P180" s="169"/>
      <c r="Q180" s="208"/>
      <c r="R180" s="166" t="str">
        <f ca="1">IF(ISERROR($V180),"",OFFSET('Smelter Look-up'!$C$4,$V180-4,0)&amp;"")</f>
        <v>PT Rajehan Ariq</v>
      </c>
      <c r="S180" s="165" t="str">
        <f t="shared" ca="1" si="23"/>
        <v>ID</v>
      </c>
      <c r="T180" s="165" t="str">
        <f ca="1">IF(B180="","",IF(ISERROR(MATCH($J180,SorP!$B$1:$B$6261,0)),"",INDIRECT("'SorP'!$A$"&amp;MATCH($S180&amp;$J180,SorP!C:C,0))))</f>
        <v>ID-BB</v>
      </c>
      <c r="U180" s="185"/>
      <c r="V180" s="209">
        <f>IF(C180="",NA(),IF(OR(C180="Smelter not listed",C180="Smelter not yet identified"),MATCH($B180&amp;$D180,'Smelter Look-up'!$J:$J,0),MATCH($B180&amp;$C180,'Smelter Look-up'!$J:$J,0)))</f>
        <v>529</v>
      </c>
      <c r="X180" s="210">
        <f t="shared" si="24"/>
        <v>0</v>
      </c>
      <c r="AB180" s="211" t="str">
        <f t="shared" si="25"/>
        <v>TinPT Rajehan Ariq</v>
      </c>
    </row>
    <row r="181" spans="1:28" s="210" customFormat="1" ht="51">
      <c r="A181" s="165" t="s">
        <v>14870</v>
      </c>
      <c r="B181" s="166" t="s">
        <v>1088</v>
      </c>
      <c r="C181" s="170" t="s">
        <v>14869</v>
      </c>
      <c r="D181" s="213"/>
      <c r="E181" s="166" t="s">
        <v>1063</v>
      </c>
      <c r="F181" s="166" t="s">
        <v>14870</v>
      </c>
      <c r="G181" s="166" t="s">
        <v>12764</v>
      </c>
      <c r="H181" s="167"/>
      <c r="I181" s="168" t="s">
        <v>14871</v>
      </c>
      <c r="J181" s="168" t="s">
        <v>1707</v>
      </c>
      <c r="K181" s="207"/>
      <c r="L181" s="207"/>
      <c r="M181" s="207"/>
      <c r="N181" s="207"/>
      <c r="O181" s="207"/>
      <c r="P181" s="169"/>
      <c r="Q181" s="208"/>
      <c r="R181" s="166" t="str">
        <f ca="1">IF(ISERROR($V181),"",OFFSET('Smelter Look-up'!$C$4,$V181-4,0)&amp;"")</f>
        <v>PT Cipta Persada Mulia</v>
      </c>
      <c r="S181" s="165" t="str">
        <f t="shared" ca="1" si="23"/>
        <v>ID</v>
      </c>
      <c r="T181" s="165" t="str">
        <f ca="1">IF(B181="","",IF(ISERROR(MATCH($J181,SorP!$B$1:$B$6261,0)),"",INDIRECT("'SorP'!$A$"&amp;MATCH($S181&amp;$J181,SorP!C:C,0))))</f>
        <v>ID-KR</v>
      </c>
      <c r="U181" s="185"/>
      <c r="V181" s="209">
        <f>IF(C181="",NA(),IF(OR(C181="Smelter not listed",C181="Smelter not yet identified"),MATCH($B181&amp;$D181,'Smelter Look-up'!$J:$J,0),MATCH($B181&amp;$C181,'Smelter Look-up'!$J:$J,0)))</f>
        <v>522</v>
      </c>
      <c r="X181" s="210">
        <f t="shared" si="24"/>
        <v>0</v>
      </c>
      <c r="AB181" s="211" t="str">
        <f t="shared" si="25"/>
        <v>TinPT Cipta Persada Mulia</v>
      </c>
    </row>
    <row r="182" spans="1:28" s="210" customFormat="1" ht="25.5">
      <c r="A182" s="165" t="s">
        <v>2421</v>
      </c>
      <c r="B182" s="166" t="s">
        <v>1088</v>
      </c>
      <c r="C182" s="170" t="s">
        <v>2420</v>
      </c>
      <c r="D182" s="213"/>
      <c r="E182" s="166" t="s">
        <v>1054</v>
      </c>
      <c r="F182" s="166" t="s">
        <v>2421</v>
      </c>
      <c r="G182" s="166" t="s">
        <v>12764</v>
      </c>
      <c r="H182" s="167"/>
      <c r="I182" s="168" t="s">
        <v>2429</v>
      </c>
      <c r="J182" s="168" t="s">
        <v>1610</v>
      </c>
      <c r="K182" s="207"/>
      <c r="L182" s="207"/>
      <c r="M182" s="207"/>
      <c r="N182" s="207"/>
      <c r="O182" s="207"/>
      <c r="P182" s="169"/>
      <c r="Q182" s="208"/>
      <c r="R182" s="166" t="str">
        <f ca="1">IF(ISERROR($V182),"",OFFSET('Smelter Look-up'!$C$4,$V182-4,0)&amp;"")</f>
        <v>Super Ligas</v>
      </c>
      <c r="S182" s="165" t="str">
        <f t="shared" ca="1" si="23"/>
        <v>BR</v>
      </c>
      <c r="T182" s="165" t="str">
        <f ca="1">IF(B182="","",IF(ISERROR(MATCH($J182,SorP!$B$1:$B$6261,0)),"",INDIRECT("'SorP'!$A$"&amp;MATCH($S182&amp;$J182,SorP!C:C,0))))</f>
        <v>BR-SP</v>
      </c>
      <c r="U182" s="185"/>
      <c r="V182" s="209">
        <f>IF(C182="",NA(),IF(OR(C182="Smelter not listed",C182="Smelter not yet identified"),MATCH($B182&amp;$D182,'Smelter Look-up'!$J:$J,0),MATCH($B182&amp;$C182,'Smelter Look-up'!$J:$J,0)))</f>
        <v>539</v>
      </c>
      <c r="X182" s="210">
        <f t="shared" si="24"/>
        <v>0</v>
      </c>
      <c r="AB182" s="211" t="str">
        <f t="shared" si="25"/>
        <v>TinSuper Ligas</v>
      </c>
    </row>
    <row r="183" spans="1:28" s="210" customFormat="1" ht="38.25">
      <c r="A183" s="165" t="s">
        <v>1728</v>
      </c>
      <c r="B183" s="166" t="s">
        <v>1088</v>
      </c>
      <c r="C183" s="170" t="s">
        <v>14898</v>
      </c>
      <c r="D183" s="213" t="s">
        <v>14898</v>
      </c>
      <c r="E183" s="166" t="s">
        <v>1053</v>
      </c>
      <c r="F183" s="166" t="s">
        <v>1728</v>
      </c>
      <c r="G183" s="166" t="s">
        <v>12764</v>
      </c>
      <c r="H183" s="167" t="s">
        <v>16010</v>
      </c>
      <c r="I183" s="168" t="s">
        <v>1729</v>
      </c>
      <c r="J183" s="168" t="s">
        <v>3031</v>
      </c>
      <c r="K183" s="207" t="s">
        <v>16011</v>
      </c>
      <c r="L183" s="207" t="s">
        <v>16012</v>
      </c>
      <c r="M183" s="207" t="s">
        <v>15934</v>
      </c>
      <c r="N183" s="207" t="s">
        <v>15935</v>
      </c>
      <c r="O183" s="207" t="s">
        <v>15936</v>
      </c>
      <c r="P183" s="169" t="s">
        <v>473</v>
      </c>
      <c r="Q183" s="208"/>
      <c r="R183" s="166" t="str">
        <f ca="1">IF(ISERROR($V183),"",OFFSET('Smelter Look-up'!$C$4,$V183-4,0)&amp;"")</f>
        <v>Aurubis Beerse</v>
      </c>
      <c r="S183" s="165" t="str">
        <f t="shared" ca="1" si="23"/>
        <v>BE</v>
      </c>
      <c r="T183" s="165" t="str">
        <f ca="1">IF(B183="","",IF(ISERROR(MATCH($J183,SorP!$B$1:$B$6261,0)),"",INDIRECT("'SorP'!$A$"&amp;MATCH($S183&amp;$J183,SorP!C:C,0))))</f>
        <v>BE-VAN</v>
      </c>
      <c r="U183" s="185"/>
      <c r="V183" s="209">
        <f>IF(C183="",NA(),IF(OR(C183="Smelter not listed",C183="Smelter not yet identified"),MATCH($B183&amp;$D183,'Smelter Look-up'!$J:$J,0),MATCH($B183&amp;$C183,'Smelter Look-up'!$J:$J,0)))</f>
        <v>423</v>
      </c>
      <c r="X183" s="210">
        <f t="shared" si="24"/>
        <v>0</v>
      </c>
      <c r="AB183" s="211" t="str">
        <f t="shared" si="25"/>
        <v>TinAurubis Beerse</v>
      </c>
    </row>
    <row r="184" spans="1:28" s="210" customFormat="1" ht="51">
      <c r="A184" s="165" t="s">
        <v>14907</v>
      </c>
      <c r="B184" s="166" t="s">
        <v>1088</v>
      </c>
      <c r="C184" s="170" t="s">
        <v>14906</v>
      </c>
      <c r="D184" s="213"/>
      <c r="E184" s="166" t="s">
        <v>1063</v>
      </c>
      <c r="F184" s="166" t="s">
        <v>14907</v>
      </c>
      <c r="G184" s="166" t="s">
        <v>12764</v>
      </c>
      <c r="H184" s="167"/>
      <c r="I184" s="168" t="s">
        <v>14910</v>
      </c>
      <c r="J184" s="168" t="s">
        <v>12398</v>
      </c>
      <c r="K184" s="207"/>
      <c r="L184" s="207"/>
      <c r="M184" s="207"/>
      <c r="N184" s="207"/>
      <c r="O184" s="207"/>
      <c r="P184" s="169"/>
      <c r="Q184" s="208"/>
      <c r="R184" s="166" t="str">
        <f ca="1">IF(ISERROR($V184),"",OFFSET('Smelter Look-up'!$C$4,$V184-4,0)&amp;"")</f>
        <v>PT Bangka Prima Tin</v>
      </c>
      <c r="S184" s="165" t="str">
        <f t="shared" ca="1" si="23"/>
        <v>ID</v>
      </c>
      <c r="T184" s="165" t="str">
        <f ca="1">IF(B184="","",IF(ISERROR(MATCH($J184,SorP!$B$1:$B$6261,0)),"",INDIRECT("'SorP'!$A$"&amp;MATCH($S184&amp;$J184,SorP!C:C,0))))</f>
        <v>ID-BB</v>
      </c>
      <c r="U184" s="185"/>
      <c r="V184" s="209">
        <f>IF(C184="",NA(),IF(OR(C184="Smelter not listed",C184="Smelter not yet identified"),MATCH($B184&amp;$D184,'Smelter Look-up'!$J:$J,0),MATCH($B184&amp;$C184,'Smelter Look-up'!$J:$J,0)))</f>
        <v>521</v>
      </c>
      <c r="X184" s="210">
        <f t="shared" si="24"/>
        <v>0</v>
      </c>
      <c r="AB184" s="211" t="str">
        <f t="shared" si="25"/>
        <v>TinPT Bangka Prima Tin</v>
      </c>
    </row>
    <row r="185" spans="1:28" s="210" customFormat="1" ht="102">
      <c r="A185" s="165" t="s">
        <v>2419</v>
      </c>
      <c r="B185" s="166" t="s">
        <v>1088</v>
      </c>
      <c r="C185" s="170" t="s">
        <v>2418</v>
      </c>
      <c r="D185" s="213"/>
      <c r="E185" s="166" t="s">
        <v>1058</v>
      </c>
      <c r="F185" s="166" t="s">
        <v>2419</v>
      </c>
      <c r="G185" s="166" t="s">
        <v>12764</v>
      </c>
      <c r="H185" s="167"/>
      <c r="I185" s="168" t="s">
        <v>1737</v>
      </c>
      <c r="J185" s="168" t="s">
        <v>13122</v>
      </c>
      <c r="K185" s="207"/>
      <c r="L185" s="207"/>
      <c r="M185" s="207"/>
      <c r="N185" s="207"/>
      <c r="O185" s="207"/>
      <c r="P185" s="169"/>
      <c r="Q185" s="208"/>
      <c r="R185" s="166" t="str">
        <f ca="1">IF(ISERROR($V185),"",OFFSET('Smelter Look-up'!$C$4,$V185-4,0)&amp;"")</f>
        <v>Guangdong Hanhe Non-Ferrous Metal Co., Ltd.</v>
      </c>
      <c r="S185" s="165" t="str">
        <f t="shared" ca="1" si="23"/>
        <v>CN</v>
      </c>
      <c r="T185" s="165" t="str">
        <f ca="1">IF(B185="","",IF(ISERROR(MATCH($J185,SorP!$B$1:$B$6261,0)),"",INDIRECT("'SorP'!$A$"&amp;MATCH($S185&amp;$J185,SorP!C:C,0))))</f>
        <v>CN-GD</v>
      </c>
      <c r="U185" s="185"/>
      <c r="V185" s="209">
        <f>IF(C185="",NA(),IF(OR(C185="Smelter not listed",C185="Smelter not yet identified"),MATCH($B185&amp;$D185,'Smelter Look-up'!$J:$J,0),MATCH($B185&amp;$C185,'Smelter Look-up'!$J:$J,0)))</f>
        <v>475</v>
      </c>
      <c r="X185" s="210">
        <f t="shared" si="24"/>
        <v>0</v>
      </c>
      <c r="AB185" s="211" t="str">
        <f t="shared" si="25"/>
        <v>TinGuangdong Hanhe Non-Ferrous Metal Co., Ltd.</v>
      </c>
    </row>
    <row r="186" spans="1:28" s="210" customFormat="1" ht="89.25">
      <c r="A186" s="165" t="s">
        <v>12470</v>
      </c>
      <c r="B186" s="166" t="s">
        <v>1088</v>
      </c>
      <c r="C186" s="170" t="s">
        <v>12469</v>
      </c>
      <c r="D186" s="213"/>
      <c r="E186" s="166" t="s">
        <v>1058</v>
      </c>
      <c r="F186" s="166" t="s">
        <v>12470</v>
      </c>
      <c r="G186" s="166" t="s">
        <v>12764</v>
      </c>
      <c r="H186" s="167"/>
      <c r="I186" s="168" t="s">
        <v>12484</v>
      </c>
      <c r="J186" s="168" t="s">
        <v>13100</v>
      </c>
      <c r="K186" s="207"/>
      <c r="L186" s="207"/>
      <c r="M186" s="207"/>
      <c r="N186" s="207"/>
      <c r="O186" s="207"/>
      <c r="P186" s="169"/>
      <c r="Q186" s="208"/>
      <c r="R186" s="166" t="str">
        <f ca="1">IF(ISERROR($V186),"",OFFSET('Smelter Look-up'!$C$4,$V186-4,0)&amp;"")</f>
        <v>Chifeng Dajingzi Tin Industry Co., Ltd.</v>
      </c>
      <c r="S186" s="165" t="str">
        <f t="shared" ca="1" si="23"/>
        <v>CN</v>
      </c>
      <c r="T186" s="165" t="str">
        <f ca="1">IF(B186="","",IF(ISERROR(MATCH($J186,SorP!$B$1:$B$6261,0)),"",INDIRECT("'SorP'!$A$"&amp;MATCH($S186&amp;$J186,SorP!C:C,0))))</f>
        <v>CN-NM</v>
      </c>
      <c r="U186" s="185"/>
      <c r="V186" s="209">
        <f>IF(C186="",NA(),IF(OR(C186="Smelter not listed",C186="Smelter not yet identified"),MATCH($B186&amp;$D186,'Smelter Look-up'!$J:$J,0),MATCH($B186&amp;$C186,'Smelter Look-up'!$J:$J,0)))</f>
        <v>429</v>
      </c>
      <c r="X186" s="210">
        <f t="shared" si="24"/>
        <v>0</v>
      </c>
      <c r="AB186" s="211" t="str">
        <f t="shared" si="25"/>
        <v>TinChifeng Dajingzi Tin Industry Co., Ltd.</v>
      </c>
    </row>
    <row r="187" spans="1:28" s="210" customFormat="1" ht="51">
      <c r="A187" s="165" t="s">
        <v>12709</v>
      </c>
      <c r="B187" s="166" t="s">
        <v>1088</v>
      </c>
      <c r="C187" s="170" t="s">
        <v>12708</v>
      </c>
      <c r="D187" s="213"/>
      <c r="E187" s="166" t="s">
        <v>2323</v>
      </c>
      <c r="F187" s="166" t="s">
        <v>12709</v>
      </c>
      <c r="G187" s="166" t="s">
        <v>12764</v>
      </c>
      <c r="H187" s="167"/>
      <c r="I187" s="168" t="s">
        <v>12710</v>
      </c>
      <c r="J187" s="168" t="s">
        <v>1660</v>
      </c>
      <c r="K187" s="207"/>
      <c r="L187" s="207"/>
      <c r="M187" s="207"/>
      <c r="N187" s="207"/>
      <c r="O187" s="207"/>
      <c r="P187" s="169"/>
      <c r="Q187" s="208"/>
      <c r="R187" s="166" t="str">
        <f ca="1">IF(ISERROR($V187),"",OFFSET('Smelter Look-up'!$C$4,$V187-4,0)&amp;"")</f>
        <v>Tin Technology &amp; Refining</v>
      </c>
      <c r="S187" s="165" t="str">
        <f t="shared" ca="1" si="23"/>
        <v>US</v>
      </c>
      <c r="T187" s="165" t="str">
        <f ca="1">IF(B187="","",IF(ISERROR(MATCH($J187,SorP!$B$1:$B$6261,0)),"",INDIRECT("'SorP'!$A$"&amp;MATCH($S187&amp;$J187,SorP!C:C,0))))</f>
        <v>US-PA</v>
      </c>
      <c r="U187" s="185"/>
      <c r="V187" s="209">
        <f>IF(C187="",NA(),IF(OR(C187="Smelter not listed",C187="Smelter not yet identified"),MATCH($B187&amp;$D187,'Smelter Look-up'!$J:$J,0),MATCH($B187&amp;$C187,'Smelter Look-up'!$J:$J,0)))</f>
        <v>547</v>
      </c>
      <c r="X187" s="210">
        <f t="shared" si="24"/>
        <v>0</v>
      </c>
      <c r="AB187" s="211" t="str">
        <f t="shared" si="25"/>
        <v>TinTin Technology &amp; Refining</v>
      </c>
    </row>
    <row r="188" spans="1:28" s="210" customFormat="1" ht="63.75">
      <c r="A188" s="165" t="s">
        <v>13349</v>
      </c>
      <c r="B188" s="166" t="s">
        <v>1088</v>
      </c>
      <c r="C188" s="170" t="s">
        <v>13335</v>
      </c>
      <c r="D188" s="213"/>
      <c r="E188" s="166" t="s">
        <v>1063</v>
      </c>
      <c r="F188" s="166" t="s">
        <v>13349</v>
      </c>
      <c r="G188" s="166" t="s">
        <v>12764</v>
      </c>
      <c r="H188" s="167"/>
      <c r="I188" s="168" t="s">
        <v>14557</v>
      </c>
      <c r="J188" s="168" t="s">
        <v>12398</v>
      </c>
      <c r="K188" s="207"/>
      <c r="L188" s="207"/>
      <c r="M188" s="207"/>
      <c r="N188" s="207"/>
      <c r="O188" s="207"/>
      <c r="P188" s="169"/>
      <c r="Q188" s="208"/>
      <c r="R188" s="166" t="str">
        <f ca="1">IF(ISERROR($V188),"",OFFSET('Smelter Look-up'!$C$4,$V188-4,0)&amp;"")</f>
        <v>PT Mitra Sukses Globalindo</v>
      </c>
      <c r="S188" s="165" t="str">
        <f t="shared" ca="1" si="23"/>
        <v>ID</v>
      </c>
      <c r="T188" s="165" t="str">
        <f ca="1">IF(B188="","",IF(ISERROR(MATCH($J188,SorP!$B$1:$B$6261,0)),"",INDIRECT("'SorP'!$A$"&amp;MATCH($S188&amp;$J188,SorP!C:C,0))))</f>
        <v>ID-BB</v>
      </c>
      <c r="U188" s="185"/>
      <c r="V188" s="209">
        <f>IF(C188="",NA(),IF(OR(C188="Smelter not listed",C188="Smelter not yet identified"),MATCH($B188&amp;$D188,'Smelter Look-up'!$J:$J,0),MATCH($B188&amp;$C188,'Smelter Look-up'!$J:$J,0)))</f>
        <v>525</v>
      </c>
      <c r="X188" s="210">
        <f t="shared" si="24"/>
        <v>0</v>
      </c>
      <c r="AB188" s="211" t="str">
        <f t="shared" si="25"/>
        <v>TinPT Mitra Sukses Globalindo</v>
      </c>
    </row>
    <row r="189" spans="1:28" s="210" customFormat="1" ht="38.25">
      <c r="A189" s="165" t="s">
        <v>14529</v>
      </c>
      <c r="B189" s="166" t="s">
        <v>1088</v>
      </c>
      <c r="C189" s="170" t="s">
        <v>14528</v>
      </c>
      <c r="D189" s="213"/>
      <c r="E189" s="166" t="s">
        <v>1060</v>
      </c>
      <c r="F189" s="166" t="s">
        <v>14529</v>
      </c>
      <c r="G189" s="166" t="s">
        <v>12764</v>
      </c>
      <c r="H189" s="167"/>
      <c r="I189" s="168" t="s">
        <v>15241</v>
      </c>
      <c r="J189" s="168" t="s">
        <v>3527</v>
      </c>
      <c r="K189" s="207"/>
      <c r="L189" s="207"/>
      <c r="M189" s="207"/>
      <c r="N189" s="207"/>
      <c r="O189" s="207"/>
      <c r="P189" s="169"/>
      <c r="Q189" s="208"/>
      <c r="R189" s="166" t="str">
        <f ca="1">IF(ISERROR($V189),"",OFFSET('Smelter Look-up'!$C$4,$V189-4,0)&amp;"")</f>
        <v>CRM Synergies EMEA, S.L.U.</v>
      </c>
      <c r="S189" s="165" t="str">
        <f t="shared" ca="1" si="23"/>
        <v>ES</v>
      </c>
      <c r="T189" s="165" t="str">
        <f ca="1">IF(B189="","",IF(ISERROR(MATCH($J189,SorP!$B$1:$B$6261,0)),"",INDIRECT("'SorP'!$A$"&amp;MATCH($S189&amp;$J189,SorP!C:C,0))))</f>
        <v>ES-TO</v>
      </c>
      <c r="U189" s="185"/>
      <c r="V189" s="209">
        <f>IF(C189="",NA(),IF(OR(C189="Smelter not listed",C189="Smelter not yet identified"),MATCH($B189&amp;$D189,'Smelter Look-up'!$J:$J,0),MATCH($B189&amp;$C189,'Smelter Look-up'!$J:$J,0)))</f>
        <v>441</v>
      </c>
      <c r="X189" s="210">
        <f t="shared" si="24"/>
        <v>0</v>
      </c>
      <c r="AB189" s="211" t="str">
        <f t="shared" si="25"/>
        <v>TinCRM Synergies</v>
      </c>
    </row>
    <row r="190" spans="1:28" s="210" customFormat="1" ht="76.5">
      <c r="A190" s="165" t="s">
        <v>14873</v>
      </c>
      <c r="B190" s="166" t="s">
        <v>1088</v>
      </c>
      <c r="C190" s="170" t="s">
        <v>14872</v>
      </c>
      <c r="D190" s="213"/>
      <c r="E190" s="166" t="s">
        <v>1063</v>
      </c>
      <c r="F190" s="166" t="s">
        <v>14873</v>
      </c>
      <c r="G190" s="166" t="s">
        <v>12764</v>
      </c>
      <c r="H190" s="167"/>
      <c r="I190" s="168" t="s">
        <v>1686</v>
      </c>
      <c r="J190" s="168" t="s">
        <v>12398</v>
      </c>
      <c r="K190" s="207"/>
      <c r="L190" s="207"/>
      <c r="M190" s="207"/>
      <c r="N190" s="207"/>
      <c r="O190" s="207"/>
      <c r="P190" s="169"/>
      <c r="Q190" s="208"/>
      <c r="R190" s="166" t="str">
        <f ca="1">IF(ISERROR($V190),"",OFFSET('Smelter Look-up'!$C$4,$V190-4,0)&amp;"")</f>
        <v>PT Putera Sarana Shakti (PT PSS)</v>
      </c>
      <c r="S190" s="165" t="str">
        <f t="shared" ca="1" si="23"/>
        <v>ID</v>
      </c>
      <c r="T190" s="165" t="str">
        <f ca="1">IF(B190="","",IF(ISERROR(MATCH($J190,SorP!$B$1:$B$6261,0)),"",INDIRECT("'SorP'!$A$"&amp;MATCH($S190&amp;$J190,SorP!C:C,0))))</f>
        <v>ID-BB</v>
      </c>
      <c r="U190" s="185"/>
      <c r="V190" s="209">
        <f>IF(C190="",NA(),IF(OR(C190="Smelter not listed",C190="Smelter not yet identified"),MATCH($B190&amp;$D190,'Smelter Look-up'!$J:$J,0),MATCH($B190&amp;$C190,'Smelter Look-up'!$J:$J,0)))</f>
        <v>528</v>
      </c>
      <c r="X190" s="210">
        <f t="shared" si="24"/>
        <v>0</v>
      </c>
      <c r="AB190" s="211" t="str">
        <f t="shared" si="25"/>
        <v>TinPT Putera Sarana Shakti (PT PSS)</v>
      </c>
    </row>
    <row r="191" spans="1:28" s="210" customFormat="1" ht="102">
      <c r="A191" s="165" t="s">
        <v>15187</v>
      </c>
      <c r="B191" s="166" t="s">
        <v>1088</v>
      </c>
      <c r="C191" s="170" t="s">
        <v>15186</v>
      </c>
      <c r="D191" s="213"/>
      <c r="E191" s="166" t="s">
        <v>1073</v>
      </c>
      <c r="F191" s="166" t="s">
        <v>15187</v>
      </c>
      <c r="G191" s="166" t="s">
        <v>12764</v>
      </c>
      <c r="H191" s="167"/>
      <c r="I191" s="168" t="s">
        <v>15197</v>
      </c>
      <c r="J191" s="168" t="s">
        <v>8327</v>
      </c>
      <c r="K191" s="207"/>
      <c r="L191" s="207"/>
      <c r="M191" s="207"/>
      <c r="N191" s="207"/>
      <c r="O191" s="207"/>
      <c r="P191" s="169"/>
      <c r="Q191" s="208"/>
      <c r="R191" s="166" t="str">
        <f ca="1">IF(ISERROR($V191),"",OFFSET('Smelter Look-up'!$C$4,$V191-4,0)&amp;"")</f>
        <v>Malaysia Smelting Corporation Berhad (Port Klang)</v>
      </c>
      <c r="S191" s="165" t="str">
        <f t="shared" ca="1" si="23"/>
        <v>MY</v>
      </c>
      <c r="T191" s="165" t="str">
        <f ca="1">IF(B191="","",IF(ISERROR(MATCH($J191,SorP!$B$1:$B$6261,0)),"",INDIRECT("'SorP'!$A$"&amp;MATCH($S191&amp;$J191,SorP!C:C,0))))</f>
        <v>MY-10</v>
      </c>
      <c r="U191" s="185"/>
      <c r="V191" s="209">
        <f>IF(C191="",NA(),IF(OR(C191="Smelter not listed",C191="Smelter not yet identified"),MATCH($B191&amp;$D191,'Smelter Look-up'!$J:$J,0),MATCH($B191&amp;$C191,'Smelter Look-up'!$J:$J,0)))</f>
        <v>491</v>
      </c>
      <c r="X191" s="210">
        <f t="shared" si="24"/>
        <v>0</v>
      </c>
      <c r="AB191" s="211" t="str">
        <f t="shared" si="25"/>
        <v>TinMalaysia Smelting Corporation Berhad (Port Klang)</v>
      </c>
    </row>
    <row r="192" spans="1:28" s="210" customFormat="1" ht="20.25">
      <c r="A192" s="165"/>
      <c r="B192" s="166"/>
      <c r="C192" s="170"/>
      <c r="D192" s="213"/>
      <c r="E192" s="166"/>
      <c r="F192" s="166"/>
      <c r="G192" s="166"/>
      <c r="H192" s="167"/>
      <c r="I192" s="168"/>
      <c r="J192" s="168"/>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si="24"/>
        <v>0</v>
      </c>
      <c r="AB192" s="211" t="str">
        <f t="shared" si="25"/>
        <v/>
      </c>
    </row>
    <row r="193" spans="1:28" s="210" customFormat="1" ht="20.25">
      <c r="A193" s="165"/>
      <c r="B193" s="166"/>
      <c r="C193" s="170"/>
      <c r="D193" s="213"/>
      <c r="E193" s="166"/>
      <c r="F193" s="166"/>
      <c r="G193" s="166"/>
      <c r="H193" s="167"/>
      <c r="I193" s="168"/>
      <c r="J193" s="168"/>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D9DFA8B-7F19-4A82-A1D9-771DC843EF0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EUROQUARTZ LIMITED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Quartz crystal and Oscillator manufacturer &amp; distributor</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ANDY TREBLE</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atreble@euroquartz.co.uk</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 1460230000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ANDY TREBLE</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atreble@euroquartz.co.uk</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46209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Greater than 90%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2026-07-06T06:31:40Z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